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BUDGET\IRR\IBC\IBC Confirm\IRR Pasar Kapasan\"/>
    </mc:Choice>
  </mc:AlternateContent>
  <xr:revisionPtr revIDLastSave="0" documentId="13_ncr:1_{ADBF0B13-0D43-488E-8680-4D8809BE0D78}" xr6:coauthVersionLast="47" xr6:coauthVersionMax="47" xr10:uidLastSave="{00000000-0000-0000-0000-000000000000}"/>
  <bookViews>
    <workbookView xWindow="-108" yWindow="-108" windowWidth="23256" windowHeight="12456" tabRatio="714" activeTab="5" xr2:uid="{00000000-000D-0000-FFFF-FFFF00000000}"/>
  </bookViews>
  <sheets>
    <sheet name="Summary" sheetId="6" r:id="rId1"/>
    <sheet name="IRR" sheetId="1" r:id="rId2"/>
    <sheet name="IRR (Share Rev)" sheetId="14" state="hidden" r:id="rId3"/>
    <sheet name="PARAMETER" sheetId="2" r:id="rId4"/>
    <sheet name="Summary BR" sheetId="15" r:id="rId5"/>
    <sheet name="Analisa" sheetId="16" r:id="rId6"/>
  </sheets>
  <externalReferences>
    <externalReference r:id="rId7"/>
    <externalReference r:id="rId8"/>
    <externalReference r:id="rId9"/>
    <externalReference r:id="rId10"/>
  </externalReferences>
  <definedNames>
    <definedName name="jk" localSheetId="5">#REF!</definedName>
    <definedName name="jk" localSheetId="4">#REF!</definedName>
    <definedName name="jk">#REF!</definedName>
    <definedName name="_xlnm.Print_Area" localSheetId="5">Analisa!$A$2:$F$28</definedName>
    <definedName name="_xlnm.Print_Area" localSheetId="1">IRR!$B$1:$Q$47</definedName>
    <definedName name="_xlnm.Print_Area" localSheetId="2">'IRR (Share Rev)'!$B$1:$Q$47</definedName>
    <definedName name="_xlnm.Print_Area" localSheetId="0">Summary!$B$1:$N$34</definedName>
    <definedName name="years_contract">[1]Kerlink!$D$5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6" l="1"/>
  <c r="D21" i="16"/>
  <c r="F21" i="16"/>
  <c r="D22" i="16"/>
  <c r="F22" i="16"/>
  <c r="D23" i="16"/>
  <c r="F23" i="16"/>
  <c r="D24" i="16"/>
  <c r="F24" i="16"/>
  <c r="D25" i="16"/>
  <c r="F25" i="16"/>
  <c r="D26" i="16"/>
  <c r="F26" i="16"/>
  <c r="F28" i="16"/>
  <c r="N43" i="16"/>
  <c r="N54" i="16"/>
  <c r="N55" i="16"/>
  <c r="O52" i="16"/>
  <c r="O51" i="16"/>
  <c r="O50" i="16"/>
  <c r="K40" i="16"/>
  <c r="O40" i="16"/>
  <c r="K41" i="16"/>
  <c r="O41" i="16"/>
  <c r="J42" i="16"/>
  <c r="K42" i="16"/>
  <c r="O42" i="16"/>
  <c r="J43" i="16"/>
  <c r="K43" i="16"/>
  <c r="O43" i="16"/>
  <c r="K44" i="16"/>
  <c r="O44" i="16"/>
  <c r="K45" i="16"/>
  <c r="O45" i="16"/>
  <c r="O46" i="16"/>
  <c r="O47" i="16"/>
  <c r="O48" i="16"/>
  <c r="M40" i="16"/>
  <c r="M41" i="16"/>
  <c r="M42" i="16"/>
  <c r="M43" i="16"/>
  <c r="M44" i="16"/>
  <c r="M45" i="16"/>
  <c r="M46" i="16"/>
  <c r="M48" i="16"/>
  <c r="D11" i="16"/>
  <c r="F11" i="16"/>
  <c r="D12" i="16"/>
  <c r="F12" i="16"/>
  <c r="D13" i="16"/>
  <c r="F13" i="16"/>
  <c r="D14" i="16"/>
  <c r="F14" i="16"/>
  <c r="D15" i="16"/>
  <c r="F15" i="16"/>
  <c r="D16" i="16"/>
  <c r="F16" i="16"/>
  <c r="F18" i="16"/>
  <c r="G16" i="1"/>
  <c r="H16" i="1"/>
  <c r="G17" i="1"/>
  <c r="H17" i="1"/>
  <c r="H18" i="1"/>
  <c r="H19" i="1"/>
  <c r="I14" i="15"/>
  <c r="H21" i="1"/>
  <c r="H25" i="1"/>
  <c r="H26" i="1"/>
  <c r="G18" i="1"/>
  <c r="K19" i="1"/>
  <c r="K24" i="1"/>
  <c r="K25" i="1"/>
  <c r="K26" i="1"/>
  <c r="G45" i="1"/>
  <c r="H45" i="1"/>
  <c r="I45" i="1"/>
  <c r="J45" i="1"/>
  <c r="K45" i="1"/>
  <c r="H46" i="1"/>
  <c r="I46" i="1"/>
  <c r="J46" i="1"/>
  <c r="K46" i="1"/>
  <c r="K47" i="1"/>
  <c r="K28" i="1"/>
  <c r="K29" i="1"/>
  <c r="K31" i="1"/>
  <c r="K32" i="1"/>
  <c r="K33" i="1"/>
  <c r="K35" i="1"/>
  <c r="K36" i="1"/>
  <c r="G19" i="1"/>
  <c r="G21" i="1"/>
  <c r="G22" i="1"/>
  <c r="G23" i="1"/>
  <c r="G25" i="1"/>
  <c r="G26" i="1"/>
  <c r="G47" i="1"/>
  <c r="G28" i="1"/>
  <c r="G29" i="1"/>
  <c r="G31" i="1"/>
  <c r="G32" i="1"/>
  <c r="G33" i="1"/>
  <c r="G36" i="1"/>
  <c r="H35" i="1"/>
  <c r="H22" i="1"/>
  <c r="H23" i="1"/>
  <c r="H24" i="1"/>
  <c r="H47" i="1"/>
  <c r="H28" i="1"/>
  <c r="H29" i="1"/>
  <c r="H31" i="1"/>
  <c r="H32" i="1"/>
  <c r="H33" i="1"/>
  <c r="H36" i="1"/>
  <c r="I35" i="1"/>
  <c r="I16" i="1"/>
  <c r="I17" i="1"/>
  <c r="I18" i="1"/>
  <c r="I19" i="1"/>
  <c r="I22" i="1"/>
  <c r="I23" i="1"/>
  <c r="I24" i="1"/>
  <c r="I25" i="1"/>
  <c r="I26" i="1"/>
  <c r="I47" i="1"/>
  <c r="I28" i="1"/>
  <c r="I29" i="1"/>
  <c r="I31" i="1"/>
  <c r="I32" i="1"/>
  <c r="I33" i="1"/>
  <c r="I36" i="1"/>
  <c r="J35" i="1"/>
  <c r="J16" i="1"/>
  <c r="J17" i="1"/>
  <c r="J18" i="1"/>
  <c r="J19" i="1"/>
  <c r="J22" i="1"/>
  <c r="J23" i="1"/>
  <c r="J24" i="1"/>
  <c r="J25" i="1"/>
  <c r="J26" i="1"/>
  <c r="J47" i="1"/>
  <c r="J28" i="1"/>
  <c r="J29" i="1"/>
  <c r="J31" i="1"/>
  <c r="J32" i="1"/>
  <c r="J33" i="1"/>
  <c r="J36" i="1"/>
  <c r="L35" i="1"/>
  <c r="L19" i="1"/>
  <c r="L25" i="1"/>
  <c r="L26" i="1"/>
  <c r="L29" i="1"/>
  <c r="L31" i="1"/>
  <c r="L32" i="1"/>
  <c r="L33" i="1"/>
  <c r="L36" i="1"/>
  <c r="M35" i="1"/>
  <c r="M19" i="1"/>
  <c r="M25" i="1"/>
  <c r="M26" i="1"/>
  <c r="M29" i="1"/>
  <c r="M31" i="1"/>
  <c r="M32" i="1"/>
  <c r="M33" i="1"/>
  <c r="M36" i="1"/>
  <c r="N35" i="1"/>
  <c r="N19" i="1"/>
  <c r="N25" i="1"/>
  <c r="N26" i="1"/>
  <c r="N29" i="1"/>
  <c r="N31" i="1"/>
  <c r="N32" i="1"/>
  <c r="N33" i="1"/>
  <c r="N36" i="1"/>
  <c r="O35" i="1"/>
  <c r="O19" i="1"/>
  <c r="O25" i="1"/>
  <c r="O26" i="1"/>
  <c r="O29" i="1"/>
  <c r="O31" i="1"/>
  <c r="O32" i="1"/>
  <c r="O33" i="1"/>
  <c r="O36" i="1"/>
  <c r="P35" i="1"/>
  <c r="P19" i="1"/>
  <c r="P25" i="1"/>
  <c r="P26" i="1"/>
  <c r="P29" i="1"/>
  <c r="P30" i="1"/>
  <c r="P31" i="1"/>
  <c r="P32" i="1"/>
  <c r="P33" i="1"/>
  <c r="P36" i="1"/>
  <c r="F39" i="1"/>
  <c r="L29" i="2"/>
  <c r="M2" i="6"/>
  <c r="H14" i="15"/>
  <c r="F40" i="1"/>
  <c r="Q16" i="1"/>
  <c r="Q17" i="1"/>
  <c r="Q18" i="1"/>
  <c r="Q19" i="1"/>
  <c r="Q24" i="1"/>
  <c r="Q22" i="1"/>
  <c r="Q23" i="1"/>
  <c r="M13" i="6"/>
  <c r="M6" i="6"/>
  <c r="I25" i="2"/>
  <c r="J25" i="2"/>
  <c r="I27" i="2"/>
  <c r="J27" i="2"/>
  <c r="I28" i="2"/>
  <c r="J28" i="2"/>
  <c r="J29" i="2"/>
  <c r="K29" i="2"/>
  <c r="I16" i="15"/>
  <c r="I15" i="15"/>
  <c r="D4" i="2"/>
  <c r="G14" i="15"/>
  <c r="D12" i="15"/>
  <c r="C12" i="15"/>
  <c r="S17" i="14"/>
  <c r="S16" i="14"/>
  <c r="G17" i="14"/>
  <c r="G16" i="14"/>
  <c r="H45" i="14"/>
  <c r="I45" i="14"/>
  <c r="J45" i="14"/>
  <c r="K45" i="14"/>
  <c r="L45" i="14"/>
  <c r="P43" i="14"/>
  <c r="O43" i="14"/>
  <c r="N43" i="14"/>
  <c r="M43" i="14"/>
  <c r="L43" i="14"/>
  <c r="K43" i="14"/>
  <c r="J43" i="14"/>
  <c r="I43" i="14"/>
  <c r="H43" i="14"/>
  <c r="G43" i="14"/>
  <c r="H42" i="14"/>
  <c r="I42" i="14"/>
  <c r="J42" i="14"/>
  <c r="K42" i="14"/>
  <c r="L42" i="14"/>
  <c r="M42" i="14"/>
  <c r="N42" i="14"/>
  <c r="O42" i="14"/>
  <c r="P42" i="14"/>
  <c r="P37" i="14"/>
  <c r="O37" i="14"/>
  <c r="N37" i="14"/>
  <c r="M37" i="14"/>
  <c r="P34" i="14"/>
  <c r="O34" i="14"/>
  <c r="N34" i="14"/>
  <c r="M34" i="14"/>
  <c r="L34" i="14"/>
  <c r="K34" i="14"/>
  <c r="J34" i="14"/>
  <c r="I34" i="14"/>
  <c r="H34" i="14"/>
  <c r="P29" i="14"/>
  <c r="Q29" i="14"/>
  <c r="P24" i="14"/>
  <c r="O24" i="14"/>
  <c r="N24" i="14"/>
  <c r="M24" i="14"/>
  <c r="L24" i="14"/>
  <c r="Q22" i="14"/>
  <c r="Q21" i="14"/>
  <c r="H20" i="14"/>
  <c r="P18" i="14"/>
  <c r="O18" i="14"/>
  <c r="O25" i="14"/>
  <c r="O28" i="14"/>
  <c r="O30" i="14"/>
  <c r="N18" i="14"/>
  <c r="N25" i="14"/>
  <c r="N26" i="14"/>
  <c r="M18" i="14"/>
  <c r="M25" i="14"/>
  <c r="M28" i="14"/>
  <c r="M30" i="14"/>
  <c r="L18" i="14"/>
  <c r="G18" i="14"/>
  <c r="G23" i="14"/>
  <c r="H17" i="14"/>
  <c r="I17" i="14"/>
  <c r="J17" i="14"/>
  <c r="K17" i="14"/>
  <c r="H16" i="14"/>
  <c r="I16" i="14"/>
  <c r="L12" i="14"/>
  <c r="M12" i="14"/>
  <c r="N12" i="14"/>
  <c r="O12" i="14"/>
  <c r="P12" i="14"/>
  <c r="Q10" i="14"/>
  <c r="G9" i="14"/>
  <c r="F34" i="14"/>
  <c r="M1" i="6"/>
  <c r="Q9" i="14"/>
  <c r="P25" i="14"/>
  <c r="L25" i="14"/>
  <c r="O31" i="14"/>
  <c r="O32" i="14"/>
  <c r="O35" i="14"/>
  <c r="P26" i="14"/>
  <c r="P28" i="14"/>
  <c r="P30" i="14"/>
  <c r="M31" i="14"/>
  <c r="M32" i="14"/>
  <c r="M35" i="14"/>
  <c r="I18" i="14"/>
  <c r="J16" i="14"/>
  <c r="F35" i="14"/>
  <c r="Q34" i="14"/>
  <c r="G24" i="14"/>
  <c r="G25" i="14"/>
  <c r="I20" i="14"/>
  <c r="M26" i="14"/>
  <c r="N28" i="14"/>
  <c r="N30" i="14"/>
  <c r="O26" i="14"/>
  <c r="H18" i="14"/>
  <c r="Q17" i="14"/>
  <c r="M45" i="14"/>
  <c r="L46" i="14"/>
  <c r="G44" i="14"/>
  <c r="L26" i="14"/>
  <c r="L28" i="14"/>
  <c r="L30" i="14"/>
  <c r="P31" i="14"/>
  <c r="P32" i="14"/>
  <c r="P35" i="14"/>
  <c r="M46" i="14"/>
  <c r="N45" i="14"/>
  <c r="J18" i="14"/>
  <c r="K16" i="14"/>
  <c r="K18" i="14"/>
  <c r="Q16" i="14"/>
  <c r="Q18" i="14"/>
  <c r="H44" i="14"/>
  <c r="G46" i="14"/>
  <c r="G27" i="14"/>
  <c r="I23" i="14"/>
  <c r="I24" i="14"/>
  <c r="I25" i="14"/>
  <c r="N31" i="14"/>
  <c r="N32" i="14"/>
  <c r="N35" i="14"/>
  <c r="F36" i="14"/>
  <c r="H23" i="14"/>
  <c r="J20" i="14"/>
  <c r="K30" i="2"/>
  <c r="L31" i="14"/>
  <c r="L32" i="14"/>
  <c r="L35" i="14"/>
  <c r="I26" i="14"/>
  <c r="J23" i="14"/>
  <c r="J24" i="14"/>
  <c r="J25" i="14"/>
  <c r="H24" i="14"/>
  <c r="H25" i="14"/>
  <c r="Q23" i="14"/>
  <c r="O45" i="14"/>
  <c r="N46" i="14"/>
  <c r="K20" i="14"/>
  <c r="K23" i="14"/>
  <c r="I44" i="14"/>
  <c r="H46" i="14"/>
  <c r="H27" i="14"/>
  <c r="G28" i="14"/>
  <c r="G30" i="14"/>
  <c r="K24" i="14"/>
  <c r="K25" i="14"/>
  <c r="K26" i="14"/>
  <c r="J26" i="14"/>
  <c r="H28" i="14"/>
  <c r="H30" i="14"/>
  <c r="H26" i="14"/>
  <c r="Q20" i="14"/>
  <c r="Q24" i="14"/>
  <c r="Q25" i="14"/>
  <c r="O46" i="14"/>
  <c r="P45" i="14"/>
  <c r="P46" i="14"/>
  <c r="G31" i="14"/>
  <c r="I46" i="14"/>
  <c r="I27" i="14"/>
  <c r="I28" i="14"/>
  <c r="I30" i="14"/>
  <c r="J44" i="14"/>
  <c r="M7" i="6"/>
  <c r="I31" i="14"/>
  <c r="I32" i="14"/>
  <c r="I35" i="14"/>
  <c r="Q26" i="14"/>
  <c r="F40" i="14"/>
  <c r="G32" i="14"/>
  <c r="G35" i="14"/>
  <c r="K44" i="14"/>
  <c r="J46" i="14"/>
  <c r="J27" i="14"/>
  <c r="J28" i="14"/>
  <c r="J30" i="14"/>
  <c r="H31" i="14"/>
  <c r="H32" i="14"/>
  <c r="H35" i="14"/>
  <c r="Q45" i="14"/>
  <c r="M15" i="2"/>
  <c r="F9" i="2"/>
  <c r="G12" i="2"/>
  <c r="H11" i="2"/>
  <c r="G13" i="2"/>
  <c r="F10" i="2"/>
  <c r="D1" i="2"/>
  <c r="E1" i="2"/>
  <c r="F1" i="2"/>
  <c r="G1" i="2"/>
  <c r="H1" i="2"/>
  <c r="I1" i="2"/>
  <c r="J1" i="2"/>
  <c r="K1" i="2"/>
  <c r="L1" i="2"/>
  <c r="M1" i="2"/>
  <c r="C4" i="2"/>
  <c r="C15" i="2"/>
  <c r="C3" i="2"/>
  <c r="K46" i="14"/>
  <c r="K27" i="14"/>
  <c r="Q44" i="14"/>
  <c r="Q46" i="14"/>
  <c r="F39" i="14"/>
  <c r="G36" i="14"/>
  <c r="J31" i="14"/>
  <c r="I11" i="2"/>
  <c r="J11" i="2"/>
  <c r="H13" i="2"/>
  <c r="J32" i="14"/>
  <c r="J35" i="14"/>
  <c r="H36" i="14"/>
  <c r="G37" i="14"/>
  <c r="K28" i="14"/>
  <c r="K30" i="14"/>
  <c r="Q27" i="14"/>
  <c r="Q28" i="14"/>
  <c r="I13" i="2"/>
  <c r="K11" i="2"/>
  <c r="J13" i="2"/>
  <c r="K31" i="14"/>
  <c r="Q31" i="14"/>
  <c r="Q30" i="14"/>
  <c r="I36" i="14"/>
  <c r="I37" i="14"/>
  <c r="H37" i="14"/>
  <c r="L11" i="2"/>
  <c r="L13" i="2"/>
  <c r="L15" i="2"/>
  <c r="K13" i="2"/>
  <c r="J36" i="14"/>
  <c r="Q32" i="14"/>
  <c r="K32" i="14"/>
  <c r="K35" i="14"/>
  <c r="G8" i="2"/>
  <c r="D7" i="2"/>
  <c r="D6" i="2"/>
  <c r="E5" i="2"/>
  <c r="K36" i="14"/>
  <c r="L37" i="14"/>
  <c r="F38" i="14"/>
  <c r="Q35" i="14"/>
  <c r="J37" i="14"/>
  <c r="G10" i="2"/>
  <c r="H8" i="2"/>
  <c r="I8" i="2"/>
  <c r="J8" i="2"/>
  <c r="K8" i="2"/>
  <c r="E7" i="2"/>
  <c r="F5" i="2"/>
  <c r="H10" i="2"/>
  <c r="Q10" i="1"/>
  <c r="Q9" i="1"/>
  <c r="M11" i="6"/>
  <c r="C20" i="2"/>
  <c r="C19" i="2"/>
  <c r="C18" i="2"/>
  <c r="D20" i="2"/>
  <c r="I10" i="2"/>
  <c r="K37" i="14"/>
  <c r="F41" i="14"/>
  <c r="G5" i="2"/>
  <c r="G7" i="2"/>
  <c r="F7" i="2"/>
  <c r="K10" i="2"/>
  <c r="K15" i="2"/>
  <c r="J10" i="2"/>
  <c r="D19" i="2"/>
  <c r="D18" i="2"/>
  <c r="L46" i="1"/>
  <c r="M46" i="1"/>
  <c r="N46" i="1"/>
  <c r="O46" i="1"/>
  <c r="P46" i="1"/>
  <c r="H5" i="2"/>
  <c r="E20" i="2"/>
  <c r="E18" i="2"/>
  <c r="E19" i="2"/>
  <c r="I5" i="2"/>
  <c r="I7" i="2"/>
  <c r="H7" i="2"/>
  <c r="F20" i="2"/>
  <c r="F18" i="2"/>
  <c r="G20" i="2"/>
  <c r="G18" i="2"/>
  <c r="F19" i="2"/>
  <c r="G19" i="2"/>
  <c r="H20" i="2"/>
  <c r="H19" i="2"/>
  <c r="H18" i="2"/>
  <c r="I20" i="2"/>
  <c r="I19" i="2"/>
  <c r="I18" i="2"/>
  <c r="J20" i="2"/>
  <c r="J19" i="2"/>
  <c r="J18" i="2"/>
  <c r="K20" i="2"/>
  <c r="K19" i="2"/>
  <c r="K18" i="2"/>
  <c r="D2" i="2"/>
  <c r="Q46" i="1"/>
  <c r="H43" i="1"/>
  <c r="I43" i="1"/>
  <c r="J43" i="1"/>
  <c r="K43" i="1"/>
  <c r="L43" i="1"/>
  <c r="M43" i="1"/>
  <c r="N43" i="1"/>
  <c r="O43" i="1"/>
  <c r="P43" i="1"/>
  <c r="M44" i="1"/>
  <c r="N44" i="1"/>
  <c r="O44" i="1"/>
  <c r="P44" i="1"/>
  <c r="L12" i="1"/>
  <c r="M12" i="1"/>
  <c r="N12" i="1"/>
  <c r="O12" i="1"/>
  <c r="P12" i="1"/>
  <c r="E2" i="2"/>
  <c r="F2" i="2"/>
  <c r="G2" i="2"/>
  <c r="D15" i="2"/>
  <c r="Q21" i="1"/>
  <c r="M12" i="6"/>
  <c r="H2" i="2"/>
  <c r="H4" i="2"/>
  <c r="H15" i="2"/>
  <c r="E4" i="2"/>
  <c r="E15" i="2"/>
  <c r="L44" i="1"/>
  <c r="I2" i="2"/>
  <c r="J2" i="2"/>
  <c r="F4" i="2"/>
  <c r="F15" i="2"/>
  <c r="L27" i="1"/>
  <c r="M27" i="1"/>
  <c r="N27" i="1"/>
  <c r="O27" i="1"/>
  <c r="P27" i="1"/>
  <c r="M10" i="6"/>
  <c r="Q25" i="1"/>
  <c r="Q26" i="1"/>
  <c r="J27" i="1"/>
  <c r="K27" i="1"/>
  <c r="I27" i="1"/>
  <c r="F28" i="2"/>
  <c r="H27" i="2"/>
  <c r="F27" i="2"/>
  <c r="G26" i="2"/>
  <c r="J26" i="2"/>
  <c r="F25" i="2"/>
  <c r="F24" i="2"/>
  <c r="D24" i="2"/>
  <c r="J24" i="2"/>
  <c r="K31" i="2"/>
  <c r="F35" i="1"/>
  <c r="Q35" i="1"/>
  <c r="M9" i="6"/>
  <c r="G4" i="2"/>
  <c r="G15" i="2"/>
  <c r="I4" i="2"/>
  <c r="I15" i="2"/>
  <c r="J4" i="2"/>
  <c r="J15" i="2"/>
  <c r="Q30" i="1"/>
  <c r="F36" i="1"/>
  <c r="L47" i="1"/>
  <c r="I44" i="1"/>
  <c r="J44" i="1"/>
  <c r="K44" i="1"/>
  <c r="M47" i="1"/>
  <c r="Q28" i="1"/>
  <c r="Q29" i="1"/>
  <c r="H27" i="1"/>
  <c r="F37" i="1"/>
  <c r="N47" i="1"/>
  <c r="O47" i="1"/>
  <c r="Q27" i="1"/>
  <c r="F41" i="1"/>
  <c r="H44" i="1"/>
  <c r="G44" i="1"/>
  <c r="P47" i="1"/>
  <c r="Q45" i="1"/>
  <c r="Q47" i="1"/>
  <c r="M17" i="6"/>
  <c r="G37" i="1"/>
  <c r="G38" i="1"/>
  <c r="H37" i="1"/>
  <c r="I37" i="1"/>
  <c r="J37" i="1"/>
  <c r="H38" i="1"/>
  <c r="J38" i="1"/>
  <c r="I38" i="1"/>
  <c r="Q31" i="1"/>
  <c r="Q32" i="1"/>
  <c r="Q33" i="1"/>
  <c r="M15" i="6"/>
  <c r="Q36" i="1"/>
  <c r="M16" i="6"/>
  <c r="K38" i="1"/>
  <c r="L38" i="1"/>
  <c r="M38" i="1"/>
  <c r="N38" i="1"/>
  <c r="P38" i="1"/>
  <c r="O38" i="1"/>
  <c r="F42" i="1"/>
  <c r="M1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<sst xmlns="http://schemas.openxmlformats.org/spreadsheetml/2006/main" count="362" uniqueCount="224">
  <si>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</si>
  <si>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</si>
  <si>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</si>
  <si>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</si>
  <si>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</si>
  <si>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</si>
  <si>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</si>
  <si>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</si>
  <si>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</si>
  <si>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</si>
  <si>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</si>
  <si>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</si>
  <si>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</si>
  <si>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</si>
  <si>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</si>
  <si>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</si>
  <si>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</si>
  <si>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</si>
  <si>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</si>
  <si>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</si>
  <si>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</si>
  <si>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</si>
  <si>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</si>
  <si>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</si>
  <si>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</si>
  <si>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</si>
  <si>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</si>
  <si>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</si>
  <si>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</si>
  <si>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</si>
  <si>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</si>
  <si>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</si>
  <si>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</si>
  <si>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</si>
  <si>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</si>
  <si>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</si>
  <si>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</si>
  <si>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</si>
  <si>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</si>
  <si>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</si>
  <si>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</si>
  <si>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</si>
  <si>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</si>
  <si>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</si>
  <si>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</si>
  <si>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</si>
  <si>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</si>
  <si>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</si>
  <si>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</si>
  <si>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</si>
  <si>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</si>
  <si>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</si>
  <si>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</si>
  <si>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</si>
  <si>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</si>
  <si>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</si>
  <si>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</si>
  <si>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</si>
  <si>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</si>
  <si>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</si>
  <si>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</si>
  <si>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</si>
  <si>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</si>
  <si>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</si>
  <si>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</si>
  <si>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</si>
  <si>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</si>
  <si>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</si>
  <si>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</si>
  <si>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</si>
  <si>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</si>
  <si>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</si>
  <si>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</si>
  <si>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</si>
  <si>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</si>
  <si>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</si>
  <si>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</si>
  <si>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</si>
  <si>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</si>
  <si>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BTS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</si>
  <si>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</si>
  <si>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</si>
  <si>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</si>
  <si>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</si>
  <si>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</si>
  <si>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</si>
  <si>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</si>
  <si>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</si>
  <si>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</si>
  <si>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</si>
  <si>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</si>
  <si>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</si>
  <si>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</si>
  <si>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</si>
  <si>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</si>
  <si>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</si>
  <si>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</si>
  <si>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</si>
  <si>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</si>
  <si>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</si>
  <si>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</si>
  <si>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</si>
  <si>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</si>
  <si>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</si>
  <si>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</si>
  <si>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</si>
  <si>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</si>
  <si>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</si>
  <si>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</si>
  <si>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</si>
  <si>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</si>
  <si>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</si>
  <si>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</si>
  <si>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</si>
  <si>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</si>
  <si>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</si>
  <si>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</si>
  <si>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</si>
  <si>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</si>
  <si>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</si>
  <si>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</si>
  <si>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</si>
  <si>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</si>
  <si>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</si>
  <si>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</si>
  <si>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>Lease to BM</t>
  </si>
  <si>
    <t>Erosion</t>
  </si>
  <si>
    <t>Y6</t>
  </si>
  <si>
    <t>Y7</t>
  </si>
  <si>
    <t>Y8</t>
  </si>
  <si>
    <t>Y9</t>
  </si>
  <si>
    <t>Y10</t>
  </si>
  <si>
    <t>Total CoGS Rent</t>
  </si>
  <si>
    <t>Total CoGS Others</t>
  </si>
  <si>
    <t>Apt. Seasons City</t>
  </si>
  <si>
    <t>2014</t>
  </si>
  <si>
    <t>2016</t>
  </si>
  <si>
    <t>2017</t>
  </si>
  <si>
    <t>0004/IRR/IBC/I/2024</t>
  </si>
  <si>
    <t>SUMMARY REVIEW</t>
  </si>
  <si>
    <t xml:space="preserve">No. </t>
  </si>
  <si>
    <t>Keterangan</t>
  </si>
  <si>
    <t>Existing</t>
  </si>
  <si>
    <t>Scope Of Lease</t>
  </si>
  <si>
    <t>Capex DAS</t>
  </si>
  <si>
    <t>BV 30Sep24</t>
  </si>
  <si>
    <t>Obyek Sewa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</si>
  <si>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</si>
  <si>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</si>
  <si>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</si>
  <si>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</si>
  <si>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</si>
  <si>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>TSEL</t>
  </si>
  <si>
    <t>IOH</t>
  </si>
  <si>
    <t/>
  </si>
  <si>
    <t>WIKA TOWER OFFICE</t>
  </si>
  <si>
    <t>Share Rev (IBS 85% - BM 15%)</t>
  </si>
  <si>
    <t>: Pasar Kapasan</t>
  </si>
  <si>
    <t>: PD. Pasar Surya</t>
  </si>
  <si>
    <t>: Manyar Kertoarjo - Surabaya 60285</t>
  </si>
  <si>
    <t>: (031) 5947331</t>
  </si>
  <si>
    <t>:  140 Omni + 6 Unit Pole Antenna + RBS 45 m²</t>
  </si>
  <si>
    <t>Renewal</t>
  </si>
  <si>
    <t>Periode Sewa</t>
  </si>
  <si>
    <t>01 Juli 2021 s/d 30 Juni 2025 (4 tahun)</t>
  </si>
  <si>
    <t>01 Juli 2025 s/d 30 Juni 2029 (4 tahun)</t>
  </si>
  <si>
    <t xml:space="preserve">Harga Sewa </t>
  </si>
  <si>
    <t>Rp.1.501.500.000/ 4 Tahun atau Rp.375.375.000/ Tahun</t>
  </si>
  <si>
    <t>Operator Join</t>
  </si>
  <si>
    <t>Smartfren</t>
  </si>
  <si>
    <t>HCPT/IOH (20 Okt2020 s/d 21Okt 2025) Rev. Rp. 176.904.000</t>
  </si>
  <si>
    <t>Tsel (29 Mar 2020 s/d 28 Mar 2025) Rev. 240.000.000</t>
  </si>
  <si>
    <t>XL (18 Nov 21 - 17 Nov 26) Rev Rp. 196,560.000</t>
  </si>
  <si>
    <t>Kenaikan Harga</t>
  </si>
  <si>
    <t>Note :</t>
  </si>
  <si>
    <t>PASAR KAPASAN</t>
  </si>
  <si>
    <t>Pasar Kapasan</t>
  </si>
  <si>
    <t>Surabaya</t>
  </si>
  <si>
    <t>Pasar</t>
  </si>
  <si>
    <t>Old Site</t>
  </si>
  <si>
    <t>XLSMART</t>
  </si>
  <si>
    <t>2026</t>
  </si>
  <si>
    <t>Increase 5%</t>
  </si>
  <si>
    <t>Rp.1.576.575.000/ 4 Tahun atau Rp.394.143.750/ Tahun</t>
  </si>
  <si>
    <t>Harga sewa naik 5%</t>
  </si>
  <si>
    <t>Turun 5% di 2025</t>
  </si>
  <si>
    <t>Tsel (29 Mar 25 s/d 28 Mar 30) Rp 240.000.000/tahun (estimasi -5%)</t>
  </si>
  <si>
    <t>XL (18 Nov 21 - 17 Nov 26) Rev Rp. 196.560.000/tahun (91 Omni)</t>
  </si>
  <si>
    <t>BV 30/06/25</t>
  </si>
  <si>
    <t>Vito Indriano</t>
  </si>
  <si>
    <t>Total Capex BV 30/06/25</t>
  </si>
  <si>
    <t>0014/IRR/IBC/VII/2025</t>
  </si>
  <si>
    <t>Total CAPEX BV</t>
  </si>
  <si>
    <t>Perpanjangan</t>
  </si>
  <si>
    <t>SITE PASAR KAPASAN</t>
  </si>
  <si>
    <t xml:space="preserve">Periode </t>
  </si>
  <si>
    <t>Start</t>
  </si>
  <si>
    <t>End</t>
  </si>
  <si>
    <t>Rev. H3I</t>
  </si>
  <si>
    <t>Rev. Tsel</t>
  </si>
  <si>
    <t>Rev. XL</t>
  </si>
  <si>
    <t>Sewa BM</t>
  </si>
  <si>
    <t>Days</t>
  </si>
  <si>
    <t xml:space="preserve">Sewa BM </t>
  </si>
  <si>
    <t xml:space="preserve">OM </t>
  </si>
  <si>
    <t>Antisipasi Add Capex and Pole</t>
  </si>
  <si>
    <t>Profit</t>
  </si>
  <si>
    <t>Positif</t>
  </si>
  <si>
    <t xml:space="preserve">IRR 14thn </t>
  </si>
  <si>
    <t>Cash Flow 14thn</t>
  </si>
  <si>
    <t>IRR 5thn Cutt Loss</t>
  </si>
  <si>
    <t>Cash Flow 5thn Cut Loss</t>
  </si>
  <si>
    <t>Rev H3I</t>
  </si>
  <si>
    <t>Belum pasti Extend, jadi pakai dasar Tsel</t>
  </si>
  <si>
    <t>Sewa BM diperpanjang sampai akhir masa Tsel dan H3I,XL mengikuti nya, maka:</t>
  </si>
  <si>
    <t>SEBELUM Kenaikan</t>
  </si>
  <si>
    <t>BATAS MAHAL SEWA naik 30%</t>
  </si>
  <si>
    <t>Telkomsel end 29Mar25 belum deal, asumsi harga masih sama seperti sebelumnya</t>
  </si>
  <si>
    <t>Rev. IOH</t>
  </si>
  <si>
    <t>Worse&gt;&gt; Jika Sewa BM diperpanjang 4thn, masing2 operator sesusai periode existing, maka:</t>
  </si>
  <si>
    <t>Listrik</t>
  </si>
  <si>
    <t>Rev. XLSmart</t>
  </si>
  <si>
    <t>Conservative &gt;&gt; Jika Sewa BM diperpanjang 4 tahun dan masing Operator mengikuti, Tsel turun 5%</t>
  </si>
  <si>
    <t>SF Start 1Jul25 s 30Jun27 untuk @ 125.000/titik, tahun selanjutnya diasumsikan sama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</si>
</sst>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2" formatCode="_(&quot;Rp&quot;* #,##0_);_(&quot;Rp&quot;* \(#,##0\);_(&quot;Rp&quot;* &quot;-&quot;_);_(@_)"/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(* #,##0_);_(* \(#,##0\);_(* &quot;-&quot;??_);_(@_)"/>
    <numFmt numFmtId="167" formatCode="_-* #,##0.0_-;\-* #,##0.0_-;_-* &quot;-&quot;_-;_-@_-"/>
    <numFmt numFmtId="168" formatCode="_ * #,##0_ ;_ * \-#,##0_ ;_ * &quot;-&quot;_ ;_ @_ "/>
    <numFmt numFmtId="169" formatCode="_(&quot;$&quot;* #,##0.00_);_(&quot;$&quot;* \(#,##0.00\);_(&quot;$&quot;* &quot;-&quot;??_);_(@_)"/>
    <numFmt numFmtId="170" formatCode="_([$Rp-421]* #,##0_);_([$Rp-421]* \(#,##0\);_([$Rp-421]* &quot;-&quot;??_);_(@_)"/>
    <numFmt numFmtId="171" formatCode="_(* #,##0.0_);_(* \(#,##0.0\);_(* &quot;-&quot;??_);_(@_)"/>
    <numFmt numFmtId="172" formatCode="[$-C09]dd\-mmm\-yy;@"/>
    <numFmt numFmtId="173" formatCode="#,###&quot;/thn&quot;"/>
    <numFmt numFmtId="174" formatCode="#,###&quot;/pole&quot;"/>
  </numFmts>
  <fonts count="4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2"/>
      <color rgb="FF00B0F0"/>
      <name val="Calibri"/>
      <family val="2"/>
      <scheme val="minor"/>
    </font>
    <font>
      <sz val="12"/>
      <color rgb="FF00B0F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43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3" fillId="0" borderId="0"/>
    <xf numFmtId="0" fontId="28" fillId="0" borderId="0"/>
    <xf numFmtId="43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5" fillId="0" borderId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3" fillId="0" borderId="0"/>
    <xf numFmtId="0" fontId="33" fillId="0" borderId="0"/>
    <xf numFmtId="43" fontId="33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9" fillId="0" borderId="0"/>
    <xf numFmtId="0" fontId="34" fillId="0" borderId="0">
      <alignment vertical="center"/>
    </xf>
    <xf numFmtId="168" fontId="33" fillId="0" borderId="0" applyFont="0" applyFill="0" applyBorder="0" applyAlignment="0" applyProtection="0">
      <alignment vertical="center"/>
    </xf>
    <xf numFmtId="169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8" fillId="0" borderId="0"/>
    <xf numFmtId="0" fontId="33" fillId="0" borderId="0"/>
    <xf numFmtId="170" fontId="33" fillId="0" borderId="0"/>
    <xf numFmtId="169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7" fillId="0" borderId="0"/>
    <xf numFmtId="43" fontId="6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8" fillId="0" borderId="0"/>
    <xf numFmtId="0" fontId="28" fillId="0" borderId="0"/>
    <xf numFmtId="164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28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8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2">
    <xf numFmtId="0" fontId="0" fillId="0" borderId="0" xfId="0"/>
    <xf numFmtId="0" fontId="16" fillId="0" borderId="0" xfId="0" applyFont="1"/>
    <xf numFmtId="0" fontId="0" fillId="0" borderId="0" xfId="0" applyAlignment="1">
      <alignment vertical="center"/>
    </xf>
    <xf numFmtId="0" fontId="17" fillId="0" borderId="0" xfId="0" applyFont="1"/>
    <xf numFmtId="0" fontId="0" fillId="3" borderId="0" xfId="0" applyFill="1"/>
    <xf numFmtId="9" fontId="18" fillId="0" borderId="0" xfId="2" applyNumberFormat="1" applyFont="1"/>
    <xf numFmtId="10" fontId="18" fillId="0" borderId="0" xfId="2" applyNumberFormat="1" applyFont="1"/>
    <xf numFmtId="0" fontId="0" fillId="0" borderId="1" xfId="0" applyBorder="1"/>
    <xf numFmtId="0" fontId="1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18" fillId="0" borderId="0" xfId="0" applyNumberFormat="1" applyFont="1" applyBorder="1"/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164" fontId="0" fillId="0" borderId="0" xfId="0" applyNumberFormat="1" applyAlignment="1">
      <alignment vertical="center"/>
    </xf>
    <xf numFmtId="164" fontId="0" fillId="0" borderId="0" xfId="0" applyNumberFormat="1"/>
    <xf numFmtId="0" fontId="0" fillId="0" borderId="2" xfId="0" applyBorder="1"/>
    <xf numFmtId="164" fontId="0" fillId="0" borderId="2" xfId="0" applyNumberFormat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vertical="center"/>
    </xf>
    <xf numFmtId="43" fontId="22" fillId="0" borderId="0" xfId="1" applyFont="1"/>
    <xf numFmtId="164" fontId="0" fillId="0" borderId="2" xfId="2" applyFont="1" applyBorder="1" applyAlignment="1">
      <alignment vertical="center"/>
    </xf>
    <xf numFmtId="164" fontId="16" fillId="0" borderId="0" xfId="0" applyNumberFormat="1" applyFont="1" applyAlignment="1">
      <alignment vertical="center"/>
    </xf>
    <xf numFmtId="0" fontId="23" fillId="0" borderId="0" xfId="0" applyFont="1"/>
    <xf numFmtId="0" fontId="24" fillId="0" borderId="0" xfId="0" applyFont="1"/>
    <xf numFmtId="9" fontId="23" fillId="0" borderId="0" xfId="3" applyFont="1" applyAlignment="1">
      <alignment vertical="center"/>
    </xf>
    <xf numFmtId="0" fontId="0" fillId="0" borderId="0" xfId="0" applyFill="1" applyBorder="1"/>
    <xf numFmtId="38" fontId="19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21" fillId="0" borderId="0" xfId="1" applyNumberFormat="1" applyFont="1"/>
    <xf numFmtId="0" fontId="0" fillId="0" borderId="0" xfId="0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6" fillId="0" borderId="4" xfId="0" applyFont="1" applyBorder="1"/>
    <xf numFmtId="0" fontId="0" fillId="0" borderId="4" xfId="0" applyBorder="1"/>
    <xf numFmtId="166" fontId="16" fillId="0" borderId="4" xfId="0" applyNumberFormat="1" applyFont="1" applyBorder="1" applyAlignment="1">
      <alignment vertical="center"/>
    </xf>
    <xf numFmtId="0" fontId="0" fillId="0" borderId="0" xfId="0" applyBorder="1"/>
    <xf numFmtId="164" fontId="20" fillId="0" borderId="0" xfId="0" applyNumberFormat="1" applyFont="1" applyBorder="1"/>
    <xf numFmtId="166" fontId="16" fillId="0" borderId="0" xfId="0" applyNumberFormat="1" applyFont="1" applyBorder="1" applyAlignment="1">
      <alignment vertical="center"/>
    </xf>
    <xf numFmtId="164" fontId="0" fillId="3" borderId="0" xfId="0" applyNumberFormat="1" applyFill="1" applyBorder="1" applyAlignment="1">
      <alignment vertical="center"/>
    </xf>
    <xf numFmtId="164" fontId="0" fillId="3" borderId="0" xfId="0" applyNumberFormat="1" applyFill="1" applyBorder="1"/>
    <xf numFmtId="0" fontId="0" fillId="3" borderId="0" xfId="0" applyFill="1" applyBorder="1"/>
    <xf numFmtId="43" fontId="22" fillId="3" borderId="0" xfId="1" applyFont="1" applyFill="1" applyBorder="1"/>
    <xf numFmtId="164" fontId="0" fillId="3" borderId="0" xfId="2" applyFont="1" applyFill="1" applyBorder="1" applyAlignment="1">
      <alignment vertical="center"/>
    </xf>
    <xf numFmtId="164" fontId="16" fillId="3" borderId="0" xfId="0" applyNumberFormat="1" applyFont="1" applyFill="1" applyBorder="1" applyAlignment="1">
      <alignment vertical="center"/>
    </xf>
    <xf numFmtId="0" fontId="16" fillId="3" borderId="0" xfId="0" applyFont="1" applyFill="1" applyBorder="1"/>
    <xf numFmtId="9" fontId="23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164" fontId="0" fillId="3" borderId="0" xfId="2" applyFont="1" applyFill="1" applyBorder="1"/>
    <xf numFmtId="0" fontId="16" fillId="0" borderId="0" xfId="0" applyFont="1" applyBorder="1" applyAlignment="1">
      <alignment horizontal="center"/>
    </xf>
    <xf numFmtId="0" fontId="26" fillId="0" borderId="6" xfId="0" applyFont="1" applyBorder="1"/>
    <xf numFmtId="0" fontId="26" fillId="0" borderId="3" xfId="0" applyFont="1" applyBorder="1"/>
    <xf numFmtId="0" fontId="26" fillId="0" borderId="8" xfId="0" applyFont="1" applyBorder="1"/>
    <xf numFmtId="0" fontId="26" fillId="0" borderId="0" xfId="0" applyFont="1" applyBorder="1"/>
    <xf numFmtId="164" fontId="26" fillId="0" borderId="9" xfId="0" applyNumberFormat="1" applyFont="1" applyBorder="1"/>
    <xf numFmtId="9" fontId="26" fillId="0" borderId="9" xfId="3" applyFont="1" applyBorder="1"/>
    <xf numFmtId="0" fontId="26" fillId="0" borderId="10" xfId="0" applyFont="1" applyBorder="1"/>
    <xf numFmtId="0" fontId="26" fillId="0" borderId="2" xfId="0" applyFont="1" applyBorder="1"/>
    <xf numFmtId="0" fontId="16" fillId="0" borderId="12" xfId="0" applyFont="1" applyBorder="1"/>
    <xf numFmtId="164" fontId="16" fillId="0" borderId="12" xfId="0" applyNumberFormat="1" applyFont="1" applyBorder="1" applyAlignment="1">
      <alignment vertical="center"/>
    </xf>
    <xf numFmtId="166" fontId="15" fillId="0" borderId="0" xfId="17" applyNumberFormat="1" applyFont="1"/>
    <xf numFmtId="164" fontId="0" fillId="0" borderId="0" xfId="2" applyFont="1" applyAlignment="1">
      <alignment vertical="center"/>
    </xf>
    <xf numFmtId="164" fontId="15" fillId="0" borderId="0" xfId="2" applyFont="1" applyFill="1"/>
    <xf numFmtId="166" fontId="0" fillId="4" borderId="0" xfId="0" applyNumberFormat="1" applyFill="1" applyAlignment="1">
      <alignment vertical="center"/>
    </xf>
    <xf numFmtId="0" fontId="26" fillId="5" borderId="1" xfId="0" applyFont="1" applyFill="1" applyBorder="1" applyAlignment="1">
      <alignment horizontal="center"/>
    </xf>
    <xf numFmtId="0" fontId="19" fillId="0" borderId="0" xfId="0" applyFont="1"/>
    <xf numFmtId="164" fontId="26" fillId="0" borderId="4" xfId="0" applyNumberFormat="1" applyFont="1" applyBorder="1"/>
    <xf numFmtId="164" fontId="26" fillId="0" borderId="0" xfId="0" applyNumberFormat="1" applyFont="1" applyBorder="1"/>
    <xf numFmtId="164" fontId="26" fillId="0" borderId="0" xfId="0" applyNumberFormat="1" applyFont="1"/>
    <xf numFmtId="0" fontId="26" fillId="0" borderId="0" xfId="0" applyFont="1"/>
    <xf numFmtId="164" fontId="0" fillId="0" borderId="0" xfId="0" applyNumberFormat="1" applyAlignment="1">
      <alignment horizontal="right" vertical="center"/>
    </xf>
    <xf numFmtId="9" fontId="26" fillId="0" borderId="7" xfId="0" applyNumberFormat="1" applyFont="1" applyBorder="1"/>
    <xf numFmtId="164" fontId="0" fillId="0" borderId="0" xfId="2" applyFont="1"/>
    <xf numFmtId="0" fontId="0" fillId="0" borderId="0" xfId="0" applyFont="1"/>
    <xf numFmtId="0" fontId="16" fillId="0" borderId="0" xfId="0" applyFont="1" applyBorder="1"/>
    <xf numFmtId="0" fontId="30" fillId="0" borderId="0" xfId="0" applyFont="1"/>
    <xf numFmtId="0" fontId="0" fillId="0" borderId="0" xfId="0" applyFont="1" applyBorder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6" fillId="0" borderId="19" xfId="2" applyNumberFormat="1" applyFont="1" applyBorder="1"/>
    <xf numFmtId="9" fontId="16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164" fontId="0" fillId="0" borderId="0" xfId="0" quotePrefix="1" applyNumberFormat="1" applyAlignment="1">
      <alignment vertical="center"/>
    </xf>
    <xf numFmtId="0" fontId="16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165" fontId="0" fillId="0" borderId="0" xfId="0" applyNumberFormat="1"/>
    <xf numFmtId="0" fontId="16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6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14" fontId="29" fillId="0" borderId="0" xfId="0" applyNumberFormat="1" applyFont="1" applyBorder="1" applyAlignment="1"/>
    <xf numFmtId="164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164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6" fillId="0" borderId="23" xfId="0" applyFont="1" applyBorder="1" applyAlignment="1">
      <alignment horizontal="left"/>
    </xf>
    <xf numFmtId="0" fontId="0" fillId="0" borderId="23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4" fontId="16" fillId="0" borderId="18" xfId="2" applyFont="1" applyBorder="1"/>
    <xf numFmtId="167" fontId="16" fillId="0" borderId="22" xfId="2" applyNumberFormat="1" applyFont="1" applyBorder="1"/>
    <xf numFmtId="164" fontId="19" fillId="0" borderId="0" xfId="2" applyFont="1" applyAlignment="1">
      <alignment vertical="center"/>
    </xf>
    <xf numFmtId="9" fontId="0" fillId="0" borderId="0" xfId="0" applyNumberFormat="1"/>
    <xf numFmtId="0" fontId="35" fillId="0" borderId="0" xfId="0" applyFont="1"/>
    <xf numFmtId="0" fontId="36" fillId="0" borderId="0" xfId="0" applyFont="1"/>
    <xf numFmtId="164" fontId="35" fillId="0" borderId="0" xfId="0" applyNumberFormat="1" applyFont="1"/>
    <xf numFmtId="164" fontId="35" fillId="0" borderId="0" xfId="0" applyNumberFormat="1" applyFont="1" applyBorder="1"/>
    <xf numFmtId="0" fontId="26" fillId="9" borderId="1" xfId="0" applyFont="1" applyFill="1" applyBorder="1" applyAlignment="1">
      <alignment horizontal="center"/>
    </xf>
    <xf numFmtId="0" fontId="19" fillId="9" borderId="0" xfId="0" applyFont="1" applyFill="1"/>
    <xf numFmtId="164" fontId="19" fillId="9" borderId="0" xfId="0" applyNumberFormat="1" applyFont="1" applyFill="1" applyBorder="1" applyAlignment="1">
      <alignment vertical="center"/>
    </xf>
    <xf numFmtId="164" fontId="16" fillId="9" borderId="12" xfId="0" applyNumberFormat="1" applyFont="1" applyFill="1" applyBorder="1" applyAlignment="1">
      <alignment vertical="center"/>
    </xf>
    <xf numFmtId="43" fontId="27" fillId="9" borderId="0" xfId="1" applyFont="1" applyFill="1"/>
    <xf numFmtId="164" fontId="16" fillId="9" borderId="0" xfId="0" applyNumberFormat="1" applyFont="1" applyFill="1" applyAlignment="1">
      <alignment vertical="center"/>
    </xf>
    <xf numFmtId="9" fontId="23" fillId="9" borderId="0" xfId="3" applyFont="1" applyFill="1" applyAlignment="1">
      <alignment vertical="center"/>
    </xf>
    <xf numFmtId="164" fontId="19" fillId="9" borderId="2" xfId="0" applyNumberFormat="1" applyFont="1" applyFill="1" applyBorder="1" applyAlignment="1">
      <alignment vertical="center"/>
    </xf>
    <xf numFmtId="38" fontId="0" fillId="9" borderId="0" xfId="0" applyNumberFormat="1" applyFill="1" applyAlignment="1">
      <alignment vertic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164" fontId="0" fillId="0" borderId="0" xfId="0" applyNumberFormat="1" applyFill="1" applyBorder="1"/>
    <xf numFmtId="38" fontId="15" fillId="0" borderId="0" xfId="2" applyNumberFormat="1" applyFont="1" applyFill="1"/>
    <xf numFmtId="164" fontId="0" fillId="0" borderId="24" xfId="2" applyFont="1" applyBorder="1"/>
    <xf numFmtId="164" fontId="0" fillId="0" borderId="24" xfId="36" applyFont="1" applyBorder="1"/>
    <xf numFmtId="164" fontId="0" fillId="0" borderId="24" xfId="0" applyNumberFormat="1" applyBorder="1"/>
    <xf numFmtId="9" fontId="0" fillId="0" borderId="24" xfId="0" applyNumberFormat="1" applyBorder="1"/>
    <xf numFmtId="0" fontId="15" fillId="0" borderId="0" xfId="17"/>
    <xf numFmtId="0" fontId="37" fillId="0" borderId="0" xfId="0" applyFont="1"/>
    <xf numFmtId="43" fontId="21" fillId="0" borderId="0" xfId="1" applyNumberFormat="1" applyFont="1"/>
    <xf numFmtId="0" fontId="0" fillId="0" borderId="0" xfId="0" applyFont="1" applyBorder="1" applyAlignment="1">
      <alignment horizontal="left" indent="1"/>
    </xf>
    <xf numFmtId="0" fontId="0" fillId="0" borderId="0" xfId="0" quotePrefix="1"/>
    <xf numFmtId="166" fontId="0" fillId="0" borderId="0" xfId="0" applyNumberFormat="1" applyFont="1"/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0" fillId="0" borderId="0" xfId="2" applyFont="1" applyAlignment="1">
      <alignment horizontal="center" vertical="center"/>
    </xf>
    <xf numFmtId="164" fontId="19" fillId="0" borderId="0" xfId="2" applyFont="1" applyAlignment="1">
      <alignment horizontal="center" vertical="center"/>
    </xf>
    <xf numFmtId="164" fontId="19" fillId="9" borderId="0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164" fontId="0" fillId="3" borderId="0" xfId="0" applyNumberFormat="1" applyFill="1" applyBorder="1" applyAlignment="1">
      <alignment horizontal="center" vertical="center"/>
    </xf>
    <xf numFmtId="171" fontId="26" fillId="0" borderId="11" xfId="1" applyNumberFormat="1" applyFont="1" applyBorder="1"/>
    <xf numFmtId="0" fontId="39" fillId="0" borderId="0" xfId="0" applyFont="1" applyBorder="1" applyAlignment="1">
      <alignment horizontal="right"/>
    </xf>
    <xf numFmtId="38" fontId="26" fillId="0" borderId="0" xfId="0" applyNumberFormat="1" applyFont="1" applyAlignment="1">
      <alignment vertical="center"/>
    </xf>
    <xf numFmtId="0" fontId="16" fillId="0" borderId="0" xfId="0" applyFont="1" applyAlignment="1">
      <alignment horizontal="right"/>
    </xf>
    <xf numFmtId="0" fontId="16" fillId="0" borderId="0" xfId="0" applyFont="1" applyBorder="1" applyAlignment="1">
      <alignment horizontal="center"/>
    </xf>
    <xf numFmtId="0" fontId="41" fillId="0" borderId="0" xfId="43" applyFont="1" applyAlignment="1">
      <alignment horizontal="left" vertical="top"/>
    </xf>
    <xf numFmtId="0" fontId="41" fillId="0" borderId="0" xfId="43" applyFont="1"/>
    <xf numFmtId="0" fontId="28" fillId="0" borderId="24" xfId="43" applyBorder="1"/>
    <xf numFmtId="0" fontId="16" fillId="0" borderId="12" xfId="0" quotePrefix="1" applyFont="1" applyBorder="1"/>
    <xf numFmtId="0" fontId="28" fillId="0" borderId="0" xfId="43"/>
    <xf numFmtId="0" fontId="40" fillId="0" borderId="0" xfId="43" applyFont="1" applyAlignment="1">
      <alignment horizontal="center"/>
    </xf>
    <xf numFmtId="41" fontId="28" fillId="0" borderId="0" xfId="46" applyFont="1"/>
    <xf numFmtId="0" fontId="44" fillId="0" borderId="24" xfId="43" applyFont="1" applyBorder="1" applyAlignment="1">
      <alignment horizontal="center" vertical="center"/>
    </xf>
    <xf numFmtId="0" fontId="44" fillId="0" borderId="24" xfId="43" applyFont="1" applyBorder="1"/>
    <xf numFmtId="0" fontId="44" fillId="0" borderId="0" xfId="43" applyFont="1"/>
    <xf numFmtId="0" fontId="44" fillId="0" borderId="24" xfId="43" applyFont="1" applyBorder="1" applyAlignment="1">
      <alignment wrapText="1"/>
    </xf>
    <xf numFmtId="42" fontId="44" fillId="0" borderId="24" xfId="47" applyFont="1" applyBorder="1"/>
    <xf numFmtId="0" fontId="44" fillId="0" borderId="28" xfId="43" applyFont="1" applyBorder="1" applyAlignment="1">
      <alignment horizontal="center" vertical="center"/>
    </xf>
    <xf numFmtId="0" fontId="28" fillId="0" borderId="24" xfId="43" applyBorder="1" applyAlignment="1">
      <alignment horizontal="center" vertical="center"/>
    </xf>
    <xf numFmtId="164" fontId="28" fillId="0" borderId="0" xfId="2" applyFont="1"/>
    <xf numFmtId="164" fontId="28" fillId="0" borderId="0" xfId="43" applyNumberFormat="1"/>
    <xf numFmtId="166" fontId="16" fillId="8" borderId="24" xfId="1" applyNumberFormat="1" applyFont="1" applyFill="1" applyBorder="1"/>
    <xf numFmtId="0" fontId="19" fillId="0" borderId="0" xfId="0" applyFont="1" applyAlignment="1">
      <alignment horizontal="right"/>
    </xf>
    <xf numFmtId="164" fontId="19" fillId="0" borderId="0" xfId="0" applyNumberFormat="1" applyFont="1"/>
    <xf numFmtId="38" fontId="0" fillId="0" borderId="0" xfId="0" applyNumberFormat="1" applyBorder="1"/>
    <xf numFmtId="0" fontId="28" fillId="0" borderId="0" xfId="38"/>
    <xf numFmtId="0" fontId="1" fillId="0" borderId="0" xfId="50"/>
    <xf numFmtId="0" fontId="28" fillId="0" borderId="24" xfId="38" applyBorder="1" applyAlignment="1">
      <alignment horizontal="center"/>
    </xf>
    <xf numFmtId="0" fontId="28" fillId="0" borderId="0" xfId="38" applyAlignment="1">
      <alignment horizontal="center"/>
    </xf>
    <xf numFmtId="0" fontId="28" fillId="0" borderId="24" xfId="38" applyBorder="1" applyAlignment="1">
      <alignment horizontal="left"/>
    </xf>
    <xf numFmtId="172" fontId="28" fillId="0" borderId="24" xfId="38" applyNumberFormat="1" applyBorder="1" applyAlignment="1">
      <alignment horizontal="center"/>
    </xf>
    <xf numFmtId="0" fontId="45" fillId="0" borderId="0" xfId="38" applyFont="1" applyAlignment="1">
      <alignment horizontal="center"/>
    </xf>
    <xf numFmtId="0" fontId="28" fillId="0" borderId="24" xfId="38" applyBorder="1"/>
    <xf numFmtId="172" fontId="28" fillId="0" borderId="0" xfId="38" applyNumberFormat="1"/>
    <xf numFmtId="172" fontId="28" fillId="0" borderId="0" xfId="38" applyNumberFormat="1" applyAlignment="1">
      <alignment horizontal="center"/>
    </xf>
    <xf numFmtId="41" fontId="28" fillId="0" borderId="0" xfId="51" applyFont="1" applyBorder="1"/>
    <xf numFmtId="173" fontId="28" fillId="0" borderId="0" xfId="52" applyNumberFormat="1" applyFont="1"/>
    <xf numFmtId="41" fontId="28" fillId="0" borderId="0" xfId="38" applyNumberFormat="1"/>
    <xf numFmtId="174" fontId="28" fillId="0" borderId="0" xfId="53" applyNumberFormat="1" applyFont="1"/>
    <xf numFmtId="41" fontId="28" fillId="0" borderId="2" xfId="38" applyNumberFormat="1" applyBorder="1"/>
    <xf numFmtId="0" fontId="45" fillId="0" borderId="0" xfId="38" applyFont="1"/>
    <xf numFmtId="0" fontId="28" fillId="0" borderId="0" xfId="38" applyAlignment="1">
      <alignment horizontal="right"/>
    </xf>
    <xf numFmtId="9" fontId="28" fillId="0" borderId="0" xfId="54" applyFont="1" applyAlignment="1">
      <alignment horizontal="right"/>
    </xf>
    <xf numFmtId="41" fontId="28" fillId="0" borderId="0" xfId="51" applyFont="1"/>
    <xf numFmtId="9" fontId="28" fillId="0" borderId="0" xfId="38" applyNumberFormat="1"/>
    <xf numFmtId="9" fontId="28" fillId="0" borderId="0" xfId="54" applyFont="1" applyFill="1"/>
    <xf numFmtId="173" fontId="1" fillId="0" borderId="0" xfId="50" applyNumberFormat="1"/>
    <xf numFmtId="0" fontId="28" fillId="0" borderId="0" xfId="38" applyFill="1"/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6" fillId="0" borderId="17" xfId="0" applyFont="1" applyBorder="1" applyAlignment="1">
      <alignment horizontal="left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16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6" fillId="0" borderId="20" xfId="0" applyFont="1" applyFill="1" applyBorder="1" applyAlignment="1" applyProtection="1">
      <alignment horizontal="left" indent="1"/>
    </xf>
    <xf numFmtId="0" fontId="16" fillId="0" borderId="0" xfId="0" applyFont="1" applyFill="1" applyBorder="1" applyAlignment="1" applyProtection="1">
      <alignment horizontal="left" indent="1"/>
    </xf>
    <xf numFmtId="0" fontId="16" fillId="0" borderId="21" xfId="0" applyFont="1" applyFill="1" applyBorder="1" applyAlignment="1" applyProtection="1">
      <alignment horizontal="left" indent="1"/>
    </xf>
    <xf numFmtId="0" fontId="16" fillId="0" borderId="1" xfId="0" applyFont="1" applyFill="1" applyBorder="1" applyAlignment="1" applyProtection="1">
      <alignment horizontal="left" indent="1"/>
    </xf>
    <xf numFmtId="0" fontId="16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6" fillId="0" borderId="16" xfId="0" applyFont="1" applyFill="1" applyBorder="1" applyAlignment="1" applyProtection="1">
      <alignment horizontal="left" indent="1"/>
    </xf>
    <xf numFmtId="0" fontId="16" fillId="0" borderId="17" xfId="0" applyFont="1" applyFill="1" applyBorder="1" applyAlignment="1" applyProtection="1">
      <alignment horizontal="left" indent="1"/>
    </xf>
    <xf numFmtId="0" fontId="16" fillId="0" borderId="17" xfId="0" applyFont="1" applyBorder="1" applyAlignment="1">
      <alignment horizontal="center"/>
    </xf>
    <xf numFmtId="164" fontId="16" fillId="0" borderId="12" xfId="0" applyNumberFormat="1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0" fontId="28" fillId="0" borderId="25" xfId="48" applyNumberFormat="1" applyFont="1" applyBorder="1" applyAlignment="1">
      <alignment horizontal="center" wrapText="1"/>
    </xf>
    <xf numFmtId="10" fontId="28" fillId="0" borderId="29" xfId="48" applyNumberFormat="1" applyFont="1" applyBorder="1" applyAlignment="1">
      <alignment horizontal="center" wrapText="1"/>
    </xf>
    <xf numFmtId="0" fontId="42" fillId="10" borderId="24" xfId="43" applyFont="1" applyFill="1" applyBorder="1" applyAlignment="1">
      <alignment horizontal="center" vertical="center"/>
    </xf>
    <xf numFmtId="0" fontId="43" fillId="10" borderId="26" xfId="43" applyFont="1" applyFill="1" applyBorder="1" applyAlignment="1">
      <alignment horizontal="center" vertical="center"/>
    </xf>
    <xf numFmtId="0" fontId="43" fillId="10" borderId="28" xfId="43" applyFont="1" applyFill="1" applyBorder="1" applyAlignment="1">
      <alignment horizontal="center" vertical="center"/>
    </xf>
    <xf numFmtId="0" fontId="44" fillId="0" borderId="26" xfId="43" applyFont="1" applyBorder="1" applyAlignment="1">
      <alignment horizontal="center" vertical="center"/>
    </xf>
    <xf numFmtId="0" fontId="44" fillId="0" borderId="28" xfId="43" applyFont="1" applyBorder="1" applyAlignment="1">
      <alignment horizontal="center" vertical="center"/>
    </xf>
    <xf numFmtId="0" fontId="28" fillId="0" borderId="24" xfId="38" applyBorder="1" applyAlignment="1">
      <alignment horizontal="center"/>
    </xf>
    <xf numFmtId="0" fontId="28" fillId="0" borderId="25" xfId="38" applyBorder="1" applyAlignment="1">
      <alignment horizontal="center"/>
    </xf>
    <xf numFmtId="0" fontId="28" fillId="0" borderId="12" xfId="38" applyBorder="1" applyAlignment="1">
      <alignment horizontal="center"/>
    </xf>
    <xf numFmtId="0" fontId="28" fillId="0" borderId="29" xfId="38" applyBorder="1" applyAlignment="1">
      <alignment horizontal="center"/>
    </xf>
  </cellXfs>
  <cellStyles count="55">
    <cellStyle name="=C:\WINNT35\SYSTEM32\COMMAND.COM" xfId="30" xr:uid="{00000000-0005-0000-0000-000000000000}"/>
    <cellStyle name="0,0_x000a__x000a_NA_x000a__x000a_" xfId="31" xr:uid="{00000000-0005-0000-0000-000001000000}"/>
    <cellStyle name="Comma" xfId="1" builtinId="3"/>
    <cellStyle name="Comma [0]" xfId="2" builtinId="6"/>
    <cellStyle name="Comma [0] 2" xfId="9" xr:uid="{00000000-0005-0000-0000-000004000000}"/>
    <cellStyle name="Comma [0] 3" xfId="26" xr:uid="{00000000-0005-0000-0000-000005000000}"/>
    <cellStyle name="Comma [0] 3 2" xfId="45" xr:uid="{F0A8375A-BB04-4639-8EBC-CCA360780025}"/>
    <cellStyle name="Comma [0] 3 2 2" xfId="39" xr:uid="{00000000-0005-0000-0000-000006000000}"/>
    <cellStyle name="Comma [0] 3 2 3" xfId="49" xr:uid="{C6BE0097-B69A-4FA9-B9E2-8561BD2AB922}"/>
    <cellStyle name="Comma [0] 3 2 4" xfId="52" xr:uid="{4E0C8FFF-40E5-452A-A20D-301FA8689D3D}"/>
    <cellStyle name="Comma [0] 3 3" xfId="40" xr:uid="{00000000-0005-0000-0000-000007000000}"/>
    <cellStyle name="Comma [0] 3 4" xfId="53" xr:uid="{19D21690-F3C9-4678-BF9B-81E4B3D53B53}"/>
    <cellStyle name="Comma [0] 4" xfId="36" xr:uid="{00000000-0005-0000-0000-000008000000}"/>
    <cellStyle name="Comma [0] 5" xfId="42" xr:uid="{6BE87437-4086-40A4-B246-D13F23EA7B29}"/>
    <cellStyle name="Comma [0] 6" xfId="44" xr:uid="{1B4BD4EF-54D3-4BA5-8DCE-CC49A385C2E8}"/>
    <cellStyle name="Comma [0] 7" xfId="46" xr:uid="{B4EFF618-AC02-4B24-8A01-EAC4E7FBAF80}"/>
    <cellStyle name="Comma [0] 8" xfId="51" xr:uid="{181A6ACE-4230-41F1-A723-07050C7FFE86}"/>
    <cellStyle name="Comma 2" xfId="7" xr:uid="{00000000-0005-0000-0000-000009000000}"/>
    <cellStyle name="Comma 2 3" xfId="22" xr:uid="{00000000-0005-0000-0000-00000A000000}"/>
    <cellStyle name="Comma 3" xfId="10" xr:uid="{00000000-0005-0000-0000-00000B000000}"/>
    <cellStyle name="Comma 3 2" xfId="11" xr:uid="{00000000-0005-0000-0000-00000C000000}"/>
    <cellStyle name="Comma 4" xfId="12" xr:uid="{00000000-0005-0000-0000-00000D000000}"/>
    <cellStyle name="Comma 4 3 2 5" xfId="35" xr:uid="{00000000-0005-0000-0000-00000E000000}"/>
    <cellStyle name="Comma 5" xfId="18" xr:uid="{00000000-0005-0000-0000-00000F000000}"/>
    <cellStyle name="Comma 5 2" xfId="19" xr:uid="{00000000-0005-0000-0000-000010000000}"/>
    <cellStyle name="Currency [0] 2" xfId="23" xr:uid="{00000000-0005-0000-0000-000011000000}"/>
    <cellStyle name="Currency [0] 2 2" xfId="47" xr:uid="{A3B367E9-BF84-46EC-BAE9-A6FC21B81579}"/>
    <cellStyle name="Currency [0] 3" xfId="28" xr:uid="{00000000-0005-0000-0000-000012000000}"/>
    <cellStyle name="Currency [0] 4" xfId="33" xr:uid="{00000000-0005-0000-0000-000013000000}"/>
    <cellStyle name="Currency 2" xfId="27" xr:uid="{00000000-0005-0000-0000-000014000000}"/>
    <cellStyle name="Currency 3" xfId="32" xr:uid="{00000000-0005-0000-0000-000015000000}"/>
    <cellStyle name="Normal" xfId="0" builtinId="0"/>
    <cellStyle name="Normal 2" xfId="5" xr:uid="{00000000-0005-0000-0000-000017000000}"/>
    <cellStyle name="Normal 2 2" xfId="6" xr:uid="{00000000-0005-0000-0000-000018000000}"/>
    <cellStyle name="Normal 2 2 2 2 3" xfId="17" xr:uid="{00000000-0005-0000-0000-000019000000}"/>
    <cellStyle name="Normal 2 7" xfId="20" xr:uid="{00000000-0005-0000-0000-00001A000000}"/>
    <cellStyle name="Normal 3" xfId="13" xr:uid="{00000000-0005-0000-0000-00001B000000}"/>
    <cellStyle name="Normal 3 2" xfId="14" xr:uid="{00000000-0005-0000-0000-00001C000000}"/>
    <cellStyle name="Normal 3 3" xfId="21" xr:uid="{00000000-0005-0000-0000-00001D000000}"/>
    <cellStyle name="Normal 4" xfId="24" xr:uid="{00000000-0005-0000-0000-00001E000000}"/>
    <cellStyle name="Normal 4 2" xfId="37" xr:uid="{00000000-0005-0000-0000-00001F000000}"/>
    <cellStyle name="Normal 5" xfId="25" xr:uid="{00000000-0005-0000-0000-000020000000}"/>
    <cellStyle name="Normal 6" xfId="29" xr:uid="{00000000-0005-0000-0000-000021000000}"/>
    <cellStyle name="Normal 7" xfId="34" xr:uid="{00000000-0005-0000-0000-000022000000}"/>
    <cellStyle name="Normal 7 2" xfId="43" xr:uid="{0026CF99-8C49-46CF-B7EE-5C5BA31F157D}"/>
    <cellStyle name="Normal 7 3" xfId="38" xr:uid="{00000000-0005-0000-0000-000023000000}"/>
    <cellStyle name="Normal 8" xfId="41" xr:uid="{86223007-BA41-465B-BCA6-E80440D58399}"/>
    <cellStyle name="Normal 9" xfId="50" xr:uid="{3B54692A-7CB1-443F-9570-8A3A5D1A4A07}"/>
    <cellStyle name="Percent" xfId="3" builtinId="5"/>
    <cellStyle name="Percent 2" xfId="8" xr:uid="{00000000-0005-0000-0000-000025000000}"/>
    <cellStyle name="Percent 2 2" xfId="4" xr:uid="{00000000-0005-0000-0000-000026000000}"/>
    <cellStyle name="Percent 3" xfId="15" xr:uid="{00000000-0005-0000-0000-000027000000}"/>
    <cellStyle name="Percent 3 2" xfId="16" xr:uid="{00000000-0005-0000-0000-000028000000}"/>
    <cellStyle name="Percent 4" xfId="48" xr:uid="{3FCC6EAC-A0A4-46F6-BD16-7B41D15415DF}"/>
    <cellStyle name="Percent 5" xfId="54" xr:uid="{C05CC6AE-73C1-4A0E-A4EB-060752CF3E3D}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27</xdr:row>
      <xdr:rowOff>20069</xdr:rowOff>
    </xdr:from>
    <xdr:to>
      <xdr:col>12</xdr:col>
      <xdr:colOff>1208314</xdr:colOff>
      <xdr:row>27</xdr:row>
      <xdr:rowOff>185057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4AEE6290-FB3A-4EF8-B944-58C1A268B76F}"/>
            </a:ext>
          </a:extLst>
        </xdr:cNvPr>
        <xdr:cNvGrpSpPr/>
      </xdr:nvGrpSpPr>
      <xdr:grpSpPr>
        <a:xfrm>
          <a:off x="620487" y="5158126"/>
          <a:ext cx="8817427" cy="164988"/>
          <a:chOff x="570986" y="5042917"/>
          <a:chExt cx="14774690" cy="343744"/>
        </a:xfrm>
      </xdr:grpSpPr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E58F4FED-CA2F-44E3-92A3-534F543B1BB1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4BBDD582-17E0-491D-9A83-565C88D3DE1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85F93EDB-9B24-43D2-BA3D-BB09C6F98B21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BD25D943-77F1-454C-B74E-0D5DCC978D8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BA033BF7-A540-400A-993A-984B0A944BB1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BEF26C1D-304E-48E8-92B6-CDA39EA97D41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67F162E1-D08D-43D1-84F5-D19D468A4C68}"/>
            </a:ext>
          </a:extLst>
        </xdr:cNvPr>
        <xdr:cNvGrpSpPr/>
      </xdr:nvGrpSpPr>
      <xdr:grpSpPr>
        <a:xfrm>
          <a:off x="632233" y="6417965"/>
          <a:ext cx="9016955" cy="171066"/>
          <a:chOff x="722947" y="7327377"/>
          <a:chExt cx="10285884" cy="0"/>
        </a:xfrm>
      </xdr:grpSpPr>
      <xdr:cxnSp macro="">
        <xdr:nvCxnSpPr>
          <xdr:cNvPr id="25" name="Straight Connector 24">
            <a:extLst>
              <a:ext uri="{FF2B5EF4-FFF2-40B4-BE49-F238E27FC236}">
                <a16:creationId xmlns:a16="http://schemas.microsoft.com/office/drawing/2014/main" id="{527CC338-41BC-4451-BD27-73DDACC99A0D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6" name="Straight Connector 25">
            <a:extLst>
              <a:ext uri="{FF2B5EF4-FFF2-40B4-BE49-F238E27FC236}">
                <a16:creationId xmlns:a16="http://schemas.microsoft.com/office/drawing/2014/main" id="{B6DB2A2C-552F-438A-9387-600A099A0112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" name="Straight Connector 26">
            <a:extLst>
              <a:ext uri="{FF2B5EF4-FFF2-40B4-BE49-F238E27FC236}">
                <a16:creationId xmlns:a16="http://schemas.microsoft.com/office/drawing/2014/main" id="{87F030D1-C401-4C12-93D6-25B82CC1B926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" name="Straight Connector 27">
            <a:extLst>
              <a:ext uri="{FF2B5EF4-FFF2-40B4-BE49-F238E27FC236}">
                <a16:creationId xmlns:a16="http://schemas.microsoft.com/office/drawing/2014/main" id="{FC7C3047-E102-4316-803C-717029684F99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75F889AC-17F2-453D-97FD-A0A657A80FD8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D4A1FD18-5307-47B9-87C8-7D9682C50C85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IRR%20Pasar%20Kapasan%207Mei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arga Jual"/>
      <sheetName val="COST "/>
      <sheetName val="contoh IRR existing"/>
      <sheetName val="Commercial"/>
      <sheetName val=" price scheme antena"/>
      <sheetName val="IRR 11th cutloss"/>
      <sheetName val="IRR Expand"/>
      <sheetName val="Analisa"/>
      <sheetName val="Capex"/>
      <sheetName val="Summary Review"/>
      <sheetName val="Pemeliharaan"/>
      <sheetName val="New IRR"/>
    </sheetNames>
    <sheetDataSet>
      <sheetData sheetId="0"/>
      <sheetData sheetId="1"/>
      <sheetData sheetId="2"/>
      <sheetData sheetId="3"/>
      <sheetData sheetId="4"/>
      <sheetData sheetId="5"/>
      <sheetData sheetId="6">
        <row r="30">
          <cell r="P30">
            <v>8.1369387203252153E-2</v>
          </cell>
        </row>
        <row r="97">
          <cell r="S97">
            <v>2888025782.0684786</v>
          </cell>
        </row>
        <row r="104">
          <cell r="S104">
            <v>234857298.30245119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34"/>
  <sheetViews>
    <sheetView showGridLines="0" zoomScale="70" zoomScaleNormal="70" workbookViewId="0">
      <selection activeCell="B1" sqref="B1:N34"/>
    </sheetView>
  </sheetViews>
  <sheetFormatPr defaultColWidth="8.59765625" defaultRowHeight="15.6" x14ac:dyDescent="0.3"/>
  <cols>
    <col min="1" max="1" width="4.09765625" style="78" customWidth="1"/>
    <col min="2" max="2" width="3" style="78" customWidth="1"/>
    <col min="3" max="3" width="16.59765625" style="78" customWidth="1"/>
    <col min="4" max="4" width="25.5" style="78" customWidth="1"/>
    <col min="5" max="5" width="4.09765625" style="78" customWidth="1"/>
    <col min="6" max="6" width="4.796875" style="78" customWidth="1"/>
    <col min="7" max="7" width="10.59765625" style="78" customWidth="1"/>
    <col min="8" max="8" width="8.296875" style="78" customWidth="1"/>
    <col min="9" max="9" width="5.296875" style="78" customWidth="1"/>
    <col min="10" max="10" width="2.09765625" style="78" customWidth="1"/>
    <col min="11" max="11" width="5.09765625" style="78" customWidth="1"/>
    <col min="12" max="12" width="18.296875" style="78" bestFit="1" customWidth="1"/>
    <col min="13" max="13" width="16.5" style="78" customWidth="1"/>
    <col min="14" max="14" width="2.09765625" style="78" customWidth="1"/>
    <col min="15" max="15" width="3.59765625" style="78" customWidth="1"/>
    <col min="16" max="16" width="8.59765625" style="78"/>
    <col min="17" max="17" width="15.5" style="78" customWidth="1"/>
    <col min="18" max="18" width="8.59765625" style="78"/>
    <col min="19" max="19" width="12.09765625" style="78" bestFit="1" customWidth="1"/>
    <col min="20" max="16384" width="8.59765625" style="78"/>
  </cols>
  <sheetData>
    <row r="1" spans="2:17" ht="16.350000000000001" customHeight="1" x14ac:dyDescent="0.4">
      <c r="B1" s="81"/>
      <c r="C1" s="81" t="s">
        <v>191</v>
      </c>
      <c r="D1" s="81"/>
      <c r="E1" s="81"/>
      <c r="F1" s="81"/>
      <c r="G1" s="81"/>
      <c r="H1" s="81"/>
      <c r="I1" s="81"/>
      <c r="J1" s="81"/>
      <c r="K1" s="81"/>
      <c r="L1" s="81"/>
      <c r="M1" s="167" t="str">
        <f>IRR!Q2</f>
        <v>PASAR KAPASAN</v>
      </c>
      <c r="N1" s="81"/>
    </row>
    <row r="2" spans="2:17" ht="18" x14ac:dyDescent="0.35">
      <c r="B2" s="81"/>
      <c r="C2" s="82" t="s">
        <v>53</v>
      </c>
      <c r="D2" s="79" t="s">
        <v>82</v>
      </c>
      <c r="E2" s="81"/>
      <c r="F2" s="81"/>
      <c r="G2" s="81"/>
      <c r="H2" s="81"/>
      <c r="J2" s="105" t="s">
        <v>81</v>
      </c>
      <c r="K2" s="105"/>
      <c r="L2" s="105"/>
      <c r="M2" s="106">
        <f ca="1">TODAY()</f>
        <v>45853</v>
      </c>
      <c r="N2" s="81"/>
    </row>
    <row r="3" spans="2:17" ht="18" x14ac:dyDescent="0.35">
      <c r="B3" s="81"/>
      <c r="C3" s="82" t="s">
        <v>54</v>
      </c>
      <c r="D3" s="79" t="s">
        <v>193</v>
      </c>
      <c r="E3" s="81"/>
      <c r="F3" s="81"/>
      <c r="G3" s="81"/>
      <c r="H3" s="81"/>
      <c r="M3" s="81"/>
      <c r="N3" s="81"/>
    </row>
    <row r="4" spans="2:17" ht="1.05" customHeight="1" thickBot="1" x14ac:dyDescent="0.35">
      <c r="B4" s="81"/>
      <c r="C4" s="79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</row>
    <row r="5" spans="2:17" s="80" customFormat="1" ht="18.600000000000001" thickBot="1" x14ac:dyDescent="0.4">
      <c r="B5" s="214" t="s">
        <v>55</v>
      </c>
      <c r="C5" s="215"/>
      <c r="D5" s="216"/>
      <c r="E5" s="214" t="s">
        <v>56</v>
      </c>
      <c r="F5" s="215"/>
      <c r="G5" s="215"/>
      <c r="H5" s="215"/>
      <c r="I5" s="215"/>
      <c r="J5" s="214" t="s">
        <v>57</v>
      </c>
      <c r="K5" s="215"/>
      <c r="L5" s="215"/>
      <c r="M5" s="215"/>
      <c r="N5" s="216"/>
    </row>
    <row r="6" spans="2:17" x14ac:dyDescent="0.3">
      <c r="B6" s="217" t="s">
        <v>58</v>
      </c>
      <c r="C6" s="218"/>
      <c r="D6" s="95" t="s">
        <v>176</v>
      </c>
      <c r="E6" s="219" t="s">
        <v>59</v>
      </c>
      <c r="F6" s="219"/>
      <c r="G6" s="219"/>
      <c r="H6" s="219"/>
      <c r="I6" s="219"/>
      <c r="J6" s="97"/>
      <c r="K6" s="220" t="s">
        <v>144</v>
      </c>
      <c r="L6" s="220"/>
      <c r="M6" s="77">
        <f>664490508</f>
        <v>664490508</v>
      </c>
      <c r="N6" s="95"/>
    </row>
    <row r="7" spans="2:17" x14ac:dyDescent="0.3">
      <c r="B7" s="221" t="s">
        <v>61</v>
      </c>
      <c r="C7" s="222"/>
      <c r="D7" s="108" t="s">
        <v>177</v>
      </c>
      <c r="E7" s="220" t="s">
        <v>62</v>
      </c>
      <c r="F7" s="220"/>
      <c r="G7" s="220"/>
      <c r="H7" s="109">
        <v>0</v>
      </c>
      <c r="I7" s="81"/>
      <c r="J7" s="85"/>
      <c r="K7" s="220" t="s">
        <v>60</v>
      </c>
      <c r="L7" s="220"/>
      <c r="M7" s="107">
        <f>M6/H8</f>
        <v>7302093.4945054948</v>
      </c>
      <c r="N7" s="83"/>
      <c r="Q7" s="158"/>
    </row>
    <row r="8" spans="2:17" x14ac:dyDescent="0.3">
      <c r="B8" s="221"/>
      <c r="C8" s="222"/>
      <c r="D8" s="83"/>
      <c r="E8" s="220" t="s">
        <v>65</v>
      </c>
      <c r="F8" s="220"/>
      <c r="G8" s="220"/>
      <c r="H8" s="109">
        <v>91</v>
      </c>
      <c r="I8" s="81"/>
      <c r="J8" s="85"/>
      <c r="K8" s="156" t="s">
        <v>63</v>
      </c>
      <c r="L8" s="156"/>
      <c r="M8" s="110">
        <v>4</v>
      </c>
      <c r="N8" s="83"/>
    </row>
    <row r="9" spans="2:17" x14ac:dyDescent="0.3">
      <c r="B9" s="98" t="s">
        <v>64</v>
      </c>
      <c r="C9" s="99"/>
      <c r="D9" s="83" t="s">
        <v>177</v>
      </c>
      <c r="E9" s="220" t="s">
        <v>67</v>
      </c>
      <c r="F9" s="220"/>
      <c r="G9" s="220"/>
      <c r="H9" s="112">
        <v>0</v>
      </c>
      <c r="I9" s="81"/>
      <c r="J9" s="85"/>
      <c r="K9" s="220" t="s">
        <v>77</v>
      </c>
      <c r="L9" s="220"/>
      <c r="M9" s="111">
        <f>[2]IRR!F3</f>
        <v>0.1</v>
      </c>
      <c r="N9" s="83"/>
    </row>
    <row r="10" spans="2:17" x14ac:dyDescent="0.3">
      <c r="B10" s="100" t="s">
        <v>66</v>
      </c>
      <c r="C10" s="101"/>
      <c r="D10" s="83" t="s">
        <v>178</v>
      </c>
      <c r="E10" s="223" t="s">
        <v>69</v>
      </c>
      <c r="F10" s="223"/>
      <c r="G10" s="223"/>
      <c r="H10" s="223"/>
      <c r="I10" s="223"/>
      <c r="J10" s="102"/>
      <c r="K10" s="224" t="s">
        <v>74</v>
      </c>
      <c r="L10" s="224"/>
      <c r="M10" s="107">
        <f>IRR!Q19</f>
        <v>2213616000</v>
      </c>
      <c r="N10" s="83"/>
    </row>
    <row r="11" spans="2:17" x14ac:dyDescent="0.3">
      <c r="B11" s="100" t="s">
        <v>68</v>
      </c>
      <c r="C11" s="101"/>
      <c r="D11" s="83" t="s">
        <v>179</v>
      </c>
      <c r="E11" s="225" t="s">
        <v>71</v>
      </c>
      <c r="F11" s="225"/>
      <c r="G11" s="225"/>
      <c r="H11" s="113">
        <v>0</v>
      </c>
      <c r="I11" s="81"/>
      <c r="J11" s="85"/>
      <c r="K11" s="224" t="s">
        <v>190</v>
      </c>
      <c r="L11" s="224"/>
      <c r="M11" s="107">
        <f>IRR!Q9+IRR!Q10</f>
        <v>0</v>
      </c>
      <c r="N11" s="83"/>
    </row>
    <row r="12" spans="2:17" x14ac:dyDescent="0.3">
      <c r="B12" s="103" t="s">
        <v>70</v>
      </c>
      <c r="C12" s="104"/>
      <c r="D12" s="84"/>
      <c r="E12" s="225" t="s">
        <v>73</v>
      </c>
      <c r="F12" s="225"/>
      <c r="G12" s="225"/>
      <c r="H12" s="113">
        <v>0</v>
      </c>
      <c r="I12" s="81"/>
      <c r="J12" s="85"/>
      <c r="K12" s="224" t="s">
        <v>132</v>
      </c>
      <c r="L12" s="224"/>
      <c r="M12" s="77">
        <f>IRR!Q21</f>
        <v>1576575000</v>
      </c>
      <c r="N12" s="83"/>
    </row>
    <row r="13" spans="2:17" x14ac:dyDescent="0.3">
      <c r="B13" s="103" t="s">
        <v>72</v>
      </c>
      <c r="C13" s="104"/>
      <c r="D13" s="84">
        <v>1</v>
      </c>
      <c r="E13" s="225" t="s">
        <v>75</v>
      </c>
      <c r="F13" s="225"/>
      <c r="G13" s="225"/>
      <c r="H13" s="113">
        <v>0</v>
      </c>
      <c r="I13" s="81"/>
      <c r="J13" s="85"/>
      <c r="K13" s="224" t="s">
        <v>133</v>
      </c>
      <c r="L13" s="224"/>
      <c r="M13" s="107">
        <f>IRR!Q22+IRR!Q23+IRR!Q24</f>
        <v>414752160</v>
      </c>
      <c r="N13" s="83"/>
    </row>
    <row r="14" spans="2:17" ht="16.2" thickBot="1" x14ac:dyDescent="0.35">
      <c r="B14" s="103"/>
      <c r="C14" s="145"/>
      <c r="D14" s="84"/>
      <c r="E14" s="144"/>
      <c r="F14" s="144"/>
      <c r="G14" s="144"/>
      <c r="H14" s="113"/>
      <c r="I14" s="81"/>
      <c r="J14" s="85"/>
      <c r="K14" s="146"/>
      <c r="L14" s="146"/>
      <c r="M14" s="81"/>
      <c r="N14" s="83"/>
    </row>
    <row r="15" spans="2:17" x14ac:dyDescent="0.3">
      <c r="B15" s="85"/>
      <c r="C15" s="81"/>
      <c r="D15" s="83"/>
      <c r="E15" s="223" t="s">
        <v>76</v>
      </c>
      <c r="F15" s="223"/>
      <c r="G15" s="223"/>
      <c r="H15" s="223"/>
      <c r="I15" s="223"/>
      <c r="J15" s="114"/>
      <c r="K15" s="232" t="s">
        <v>26</v>
      </c>
      <c r="L15" s="233"/>
      <c r="M15" s="86">
        <f>IRR!F39</f>
        <v>0.14113441721882469</v>
      </c>
      <c r="N15" s="83"/>
    </row>
    <row r="16" spans="2:17" x14ac:dyDescent="0.3">
      <c r="B16" s="85"/>
      <c r="C16" s="81"/>
      <c r="D16" s="83"/>
      <c r="E16" s="81"/>
      <c r="F16" s="81"/>
      <c r="G16" s="81"/>
      <c r="H16" s="81"/>
      <c r="I16" s="81"/>
      <c r="J16" s="115"/>
      <c r="K16" s="226" t="s">
        <v>27</v>
      </c>
      <c r="L16" s="227"/>
      <c r="M16" s="127">
        <f>IRR!F40</f>
        <v>49171177.836213231</v>
      </c>
      <c r="N16" s="83"/>
    </row>
    <row r="17" spans="2:18" x14ac:dyDescent="0.3">
      <c r="B17" s="85"/>
      <c r="C17" s="81"/>
      <c r="D17" s="83"/>
      <c r="E17" s="81"/>
      <c r="F17" s="81"/>
      <c r="G17" s="81"/>
      <c r="H17" s="81"/>
      <c r="I17" s="81"/>
      <c r="J17" s="115"/>
      <c r="K17" s="226" t="s">
        <v>28</v>
      </c>
      <c r="L17" s="227"/>
      <c r="M17" s="87">
        <f>IRR!F41</f>
        <v>0.10041888023939112</v>
      </c>
      <c r="N17" s="83"/>
      <c r="R17" s="78" t="s">
        <v>49</v>
      </c>
    </row>
    <row r="18" spans="2:18" ht="16.2" thickBot="1" x14ac:dyDescent="0.35">
      <c r="B18" s="85"/>
      <c r="C18" s="81"/>
      <c r="D18" s="83"/>
      <c r="E18" s="81"/>
      <c r="F18" s="81"/>
      <c r="G18" s="81"/>
      <c r="H18" s="81"/>
      <c r="I18" s="81"/>
      <c r="J18" s="115"/>
      <c r="K18" s="228" t="s">
        <v>78</v>
      </c>
      <c r="L18" s="229"/>
      <c r="M18" s="128">
        <f>IRR!F42</f>
        <v>3.5357685984406824</v>
      </c>
      <c r="N18" s="83"/>
      <c r="Q18" s="78" t="s">
        <v>49</v>
      </c>
    </row>
    <row r="19" spans="2:18" ht="16.2" thickBot="1" x14ac:dyDescent="0.35">
      <c r="B19" s="88"/>
      <c r="C19" s="89"/>
      <c r="D19" s="90"/>
      <c r="E19" s="89"/>
      <c r="F19" s="89" t="s">
        <v>49</v>
      </c>
      <c r="G19" s="89"/>
      <c r="H19" s="89"/>
      <c r="I19" s="89"/>
      <c r="J19" s="85"/>
      <c r="K19" s="91"/>
      <c r="L19" s="101"/>
      <c r="M19" s="101"/>
      <c r="N19" s="83"/>
    </row>
    <row r="20" spans="2:18" x14ac:dyDescent="0.3">
      <c r="B20" s="93" t="s">
        <v>80</v>
      </c>
      <c r="C20" s="94"/>
      <c r="D20" s="94"/>
      <c r="E20" s="94"/>
      <c r="F20" s="94"/>
      <c r="G20" s="94"/>
      <c r="H20" s="94"/>
      <c r="I20" s="94"/>
      <c r="J20" s="94"/>
      <c r="L20" s="234" t="s">
        <v>83</v>
      </c>
      <c r="M20" s="234"/>
      <c r="N20" s="95"/>
    </row>
    <row r="21" spans="2:18" x14ac:dyDescent="0.3">
      <c r="B21" s="85"/>
      <c r="C21" s="81"/>
      <c r="D21" s="81"/>
      <c r="E21" s="81"/>
      <c r="F21" s="81"/>
      <c r="G21" s="81"/>
      <c r="H21" s="81"/>
      <c r="I21" s="81"/>
      <c r="J21" s="81"/>
      <c r="K21" s="81"/>
      <c r="L21" s="230" t="s">
        <v>189</v>
      </c>
      <c r="M21" s="231"/>
      <c r="N21" s="83"/>
    </row>
    <row r="22" spans="2:18" x14ac:dyDescent="0.3">
      <c r="B22" s="85"/>
      <c r="C22" s="81" t="s">
        <v>223</v>
      </c>
      <c r="D22" s="81"/>
      <c r="E22" s="81"/>
      <c r="F22" s="81"/>
      <c r="G22" s="81"/>
      <c r="H22" s="81"/>
      <c r="I22" s="81"/>
      <c r="J22" s="81"/>
      <c r="K22" s="81"/>
      <c r="L22" s="81"/>
      <c r="M22" s="81"/>
      <c r="N22" s="83"/>
    </row>
    <row r="23" spans="2:18" x14ac:dyDescent="0.3">
      <c r="B23" s="85"/>
      <c r="C23" s="78" t="s">
        <v>217</v>
      </c>
      <c r="E23" s="81"/>
      <c r="F23" s="81"/>
      <c r="G23" s="81"/>
      <c r="H23" s="81"/>
      <c r="I23" s="81"/>
      <c r="J23" s="81"/>
      <c r="K23" s="81"/>
      <c r="L23" s="81"/>
      <c r="M23" s="81"/>
      <c r="N23" s="83"/>
    </row>
    <row r="24" spans="2:18" x14ac:dyDescent="0.3">
      <c r="B24" s="85"/>
      <c r="C24" s="81"/>
      <c r="E24" s="81"/>
      <c r="F24" s="81"/>
      <c r="G24" s="81"/>
      <c r="H24" s="81"/>
      <c r="I24" s="81"/>
      <c r="J24" s="81"/>
      <c r="K24" s="81"/>
      <c r="L24" s="81"/>
      <c r="M24" s="81"/>
      <c r="N24" s="83"/>
    </row>
    <row r="25" spans="2:18" ht="16.2" thickBot="1" x14ac:dyDescent="0.35">
      <c r="B25" s="88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90"/>
    </row>
    <row r="26" spans="2:18" ht="5.55" customHeight="1" x14ac:dyDescent="0.3"/>
    <row r="27" spans="2:18" x14ac:dyDescent="0.3">
      <c r="B27" s="1" t="s">
        <v>84</v>
      </c>
    </row>
    <row r="28" spans="2:18" x14ac:dyDescent="0.3"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</row>
    <row r="29" spans="2:18" x14ac:dyDescent="0.3"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</row>
    <row r="30" spans="2:18" x14ac:dyDescent="0.3"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</row>
    <row r="31" spans="2:18" x14ac:dyDescent="0.3"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</row>
    <row r="32" spans="2:18" x14ac:dyDescent="0.3"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</row>
    <row r="33" spans="2:14" x14ac:dyDescent="0.3"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</row>
    <row r="34" spans="2:14" x14ac:dyDescent="0.3">
      <c r="B34" s="153"/>
      <c r="C34" s="153"/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153"/>
    </row>
  </sheetData>
  <mergeCells count="28">
    <mergeCell ref="K17:L17"/>
    <mergeCell ref="K18:L18"/>
    <mergeCell ref="L21:M21"/>
    <mergeCell ref="E12:G12"/>
    <mergeCell ref="K10:L10"/>
    <mergeCell ref="E13:G13"/>
    <mergeCell ref="E15:I15"/>
    <mergeCell ref="K15:L15"/>
    <mergeCell ref="K16:L16"/>
    <mergeCell ref="K12:L12"/>
    <mergeCell ref="K13:L13"/>
    <mergeCell ref="L20:M20"/>
    <mergeCell ref="K9:L9"/>
    <mergeCell ref="E9:G9"/>
    <mergeCell ref="E10:I10"/>
    <mergeCell ref="K11:L11"/>
    <mergeCell ref="E11:G11"/>
    <mergeCell ref="K7:L7"/>
    <mergeCell ref="K6:L6"/>
    <mergeCell ref="B7:C7"/>
    <mergeCell ref="E7:G7"/>
    <mergeCell ref="B8:C8"/>
    <mergeCell ref="E8:G8"/>
    <mergeCell ref="B5:D5"/>
    <mergeCell ref="E5:I5"/>
    <mergeCell ref="J5:N5"/>
    <mergeCell ref="B6:C6"/>
    <mergeCell ref="E6:I6"/>
  </mergeCells>
  <pageMargins left="0.7" right="0.7" top="0.75" bottom="0.75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B1:Z50"/>
  <sheetViews>
    <sheetView showGridLines="0" topLeftCell="B1" zoomScale="90" zoomScaleNormal="90" workbookViewId="0">
      <selection activeCell="B1" sqref="B1:Q47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18.796875" customWidth="1"/>
    <col min="5" max="5" width="12.09765625" customWidth="1"/>
    <col min="6" max="6" width="16.796875" customWidth="1"/>
    <col min="7" max="7" width="14.19921875" style="2" bestFit="1" customWidth="1"/>
    <col min="8" max="10" width="13.09765625" bestFit="1" customWidth="1"/>
    <col min="11" max="11" width="13.09765625" hidden="1" customWidth="1"/>
    <col min="12" max="15" width="6.59765625" hidden="1" customWidth="1"/>
    <col min="16" max="16" width="25.5" hidden="1" customWidth="1"/>
    <col min="17" max="17" width="14.796875" customWidth="1"/>
    <col min="18" max="18" width="15.796875" customWidth="1"/>
    <col min="19" max="22" width="15" bestFit="1" customWidth="1"/>
    <col min="23" max="23" width="15.59765625" bestFit="1" customWidth="1"/>
    <col min="24" max="24" width="11.59765625" bestFit="1" customWidth="1"/>
  </cols>
  <sheetData>
    <row r="1" spans="2:26" x14ac:dyDescent="0.3">
      <c r="C1" t="s">
        <v>191</v>
      </c>
    </row>
    <row r="2" spans="2:26" ht="21.6" customHeight="1" x14ac:dyDescent="0.5">
      <c r="B2" s="3" t="s">
        <v>0</v>
      </c>
      <c r="D2" s="81"/>
      <c r="P2" s="154"/>
      <c r="Q2" s="169" t="s">
        <v>175</v>
      </c>
    </row>
    <row r="3" spans="2:26" x14ac:dyDescent="0.3">
      <c r="C3" t="s">
        <v>1</v>
      </c>
      <c r="F3" s="5">
        <v>0.02</v>
      </c>
      <c r="Q3" s="4"/>
      <c r="R3" s="4"/>
      <c r="S3" s="4"/>
    </row>
    <row r="4" spans="2:26" x14ac:dyDescent="0.3">
      <c r="C4" t="s">
        <v>40</v>
      </c>
      <c r="F4" s="5">
        <v>0.1</v>
      </c>
      <c r="Q4" s="4"/>
      <c r="R4" s="4"/>
      <c r="S4" s="4"/>
    </row>
    <row r="5" spans="2:26" x14ac:dyDescent="0.3">
      <c r="C5" t="s">
        <v>2</v>
      </c>
      <c r="F5" s="5">
        <v>0.05</v>
      </c>
      <c r="G5" s="2" t="s">
        <v>3</v>
      </c>
      <c r="S5" s="54"/>
      <c r="T5" s="54"/>
      <c r="U5" s="54"/>
      <c r="V5" s="54"/>
    </row>
    <row r="6" spans="2:26" x14ac:dyDescent="0.3">
      <c r="C6" t="s">
        <v>4</v>
      </c>
      <c r="F6" s="6">
        <v>0</v>
      </c>
      <c r="G6" s="2" t="s">
        <v>3</v>
      </c>
    </row>
    <row r="7" spans="2:26" x14ac:dyDescent="0.3">
      <c r="C7" t="s">
        <v>126</v>
      </c>
      <c r="F7" s="5">
        <v>0.15</v>
      </c>
    </row>
    <row r="8" spans="2:26" x14ac:dyDescent="0.3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32" t="s">
        <v>127</v>
      </c>
      <c r="M8" s="32" t="s">
        <v>128</v>
      </c>
      <c r="N8" s="32" t="s">
        <v>129</v>
      </c>
      <c r="O8" s="32" t="s">
        <v>130</v>
      </c>
      <c r="P8" s="32" t="s">
        <v>131</v>
      </c>
      <c r="Q8" s="25"/>
      <c r="R8" s="41"/>
      <c r="W8" s="41"/>
      <c r="X8" s="41"/>
      <c r="Y8" s="41"/>
    </row>
    <row r="9" spans="2:26" s="70" customFormat="1" ht="16.2" thickBot="1" x14ac:dyDescent="0.35">
      <c r="B9" s="74" t="s">
        <v>192</v>
      </c>
      <c r="E9" s="188" t="s">
        <v>188</v>
      </c>
      <c r="F9" s="189">
        <v>91</v>
      </c>
      <c r="G9" s="71">
        <v>0</v>
      </c>
      <c r="H9" s="71"/>
      <c r="I9" s="71">
        <v>0</v>
      </c>
      <c r="J9" s="71">
        <v>0</v>
      </c>
      <c r="K9" s="71"/>
      <c r="L9" s="71"/>
      <c r="M9" s="71"/>
      <c r="N9" s="71"/>
      <c r="O9" s="71"/>
      <c r="P9" s="71"/>
      <c r="Q9" s="147">
        <f>SUM(G9:P9)</f>
        <v>0</v>
      </c>
      <c r="R9" s="72"/>
      <c r="S9"/>
      <c r="T9"/>
      <c r="U9"/>
      <c r="V9"/>
      <c r="W9" s="72"/>
      <c r="X9" s="72"/>
      <c r="Y9" s="72"/>
    </row>
    <row r="10" spans="2:26" s="132" customFormat="1" ht="1.8" customHeight="1" thickTop="1" x14ac:dyDescent="0.3">
      <c r="B10" s="131"/>
      <c r="E10" s="132" t="s">
        <v>79</v>
      </c>
      <c r="F10" s="133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47">
        <f>SUM(G10:P10)</f>
        <v>0</v>
      </c>
      <c r="R10" s="134"/>
      <c r="W10" s="134"/>
      <c r="X10" s="134"/>
      <c r="Y10" s="134"/>
    </row>
    <row r="11" spans="2:26" s="132" customFormat="1" ht="2.5499999999999998" customHeight="1" x14ac:dyDescent="0.3">
      <c r="B11" s="131"/>
      <c r="F11" s="133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W11" s="134"/>
      <c r="X11" s="134"/>
      <c r="Y11" s="134"/>
    </row>
    <row r="12" spans="2:26" x14ac:dyDescent="0.3">
      <c r="F12" s="10"/>
      <c r="G12" s="9">
        <v>2025</v>
      </c>
      <c r="H12" s="9">
        <v>2026</v>
      </c>
      <c r="I12" s="9">
        <v>2027</v>
      </c>
      <c r="J12" s="9">
        <v>2028</v>
      </c>
      <c r="K12" s="9">
        <v>2029</v>
      </c>
      <c r="L12" s="9">
        <f t="shared" ref="L12:P12" si="0">K12+1</f>
        <v>2030</v>
      </c>
      <c r="M12" s="9">
        <f t="shared" si="0"/>
        <v>2031</v>
      </c>
      <c r="N12" s="9">
        <f t="shared" si="0"/>
        <v>2032</v>
      </c>
      <c r="O12" s="9">
        <f t="shared" si="0"/>
        <v>2033</v>
      </c>
      <c r="P12" s="9">
        <f t="shared" si="0"/>
        <v>2034</v>
      </c>
      <c r="Q12" s="9"/>
      <c r="W12" s="40"/>
      <c r="X12" s="40"/>
      <c r="Y12" s="40"/>
      <c r="Z12" s="40"/>
    </row>
    <row r="13" spans="2:26" ht="16.2" thickBot="1" x14ac:dyDescent="0.35">
      <c r="B13" s="11" t="s">
        <v>11</v>
      </c>
      <c r="C13" s="7"/>
      <c r="D13" s="7"/>
      <c r="E13" s="7"/>
      <c r="F13" s="7"/>
      <c r="G13" s="8" t="s">
        <v>6</v>
      </c>
      <c r="H13" s="12" t="s">
        <v>7</v>
      </c>
      <c r="I13" s="8" t="s">
        <v>8</v>
      </c>
      <c r="J13" s="12" t="s">
        <v>9</v>
      </c>
      <c r="K13" s="8" t="s">
        <v>10</v>
      </c>
      <c r="L13" s="8" t="s">
        <v>42</v>
      </c>
      <c r="M13" s="8" t="s">
        <v>43</v>
      </c>
      <c r="N13" s="8" t="s">
        <v>44</v>
      </c>
      <c r="O13" s="8" t="s">
        <v>45</v>
      </c>
      <c r="P13" s="8" t="s">
        <v>46</v>
      </c>
      <c r="Q13" s="135" t="s">
        <v>12</v>
      </c>
      <c r="R13" s="54"/>
      <c r="S13" s="43"/>
      <c r="T13" s="43"/>
      <c r="U13" s="43"/>
      <c r="V13" s="43"/>
      <c r="W13" s="54"/>
      <c r="X13" s="40"/>
      <c r="Y13" s="40"/>
      <c r="Z13" s="40"/>
    </row>
    <row r="14" spans="2:26" x14ac:dyDescent="0.3">
      <c r="B14" t="s">
        <v>13</v>
      </c>
      <c r="G14" s="9">
        <v>12</v>
      </c>
      <c r="H14" s="9">
        <v>12</v>
      </c>
      <c r="I14" s="9">
        <v>12</v>
      </c>
      <c r="J14" s="9">
        <v>12</v>
      </c>
      <c r="K14" s="9">
        <v>12</v>
      </c>
      <c r="L14" s="9">
        <v>12</v>
      </c>
      <c r="M14" s="9">
        <v>12</v>
      </c>
      <c r="N14" s="9">
        <v>12</v>
      </c>
      <c r="O14" s="9">
        <v>12</v>
      </c>
      <c r="P14" s="9">
        <v>12</v>
      </c>
      <c r="Q14" s="136"/>
      <c r="S14" s="45"/>
      <c r="T14" s="45"/>
      <c r="U14" s="45"/>
      <c r="V14" s="45"/>
    </row>
    <row r="15" spans="2:26" x14ac:dyDescent="0.3">
      <c r="B15" s="1" t="s">
        <v>5</v>
      </c>
      <c r="E15" s="17"/>
      <c r="G15" s="18"/>
      <c r="H15" s="129"/>
      <c r="I15" s="19"/>
      <c r="J15" s="19"/>
      <c r="K15" s="19"/>
      <c r="L15" s="19"/>
      <c r="M15" s="19"/>
      <c r="N15" s="19"/>
      <c r="O15" s="19"/>
      <c r="P15" s="19"/>
      <c r="Q15" s="136"/>
      <c r="S15" s="43"/>
      <c r="T15" s="43"/>
      <c r="U15" s="43"/>
      <c r="V15" s="43"/>
    </row>
    <row r="16" spans="2:26" x14ac:dyDescent="0.3">
      <c r="B16" s="1"/>
      <c r="C16" t="s">
        <v>153</v>
      </c>
      <c r="E16" s="17"/>
      <c r="G16" s="129">
        <f>'Summary BR'!F16</f>
        <v>176904000</v>
      </c>
      <c r="H16" s="129">
        <f>G16</f>
        <v>176904000</v>
      </c>
      <c r="I16" s="129">
        <f>H16</f>
        <v>176904000</v>
      </c>
      <c r="J16" s="129">
        <f>I16</f>
        <v>176904000</v>
      </c>
      <c r="K16" s="129">
        <v>0</v>
      </c>
      <c r="L16" s="19"/>
      <c r="M16" s="19"/>
      <c r="N16" s="19"/>
      <c r="O16" s="19"/>
      <c r="P16" s="19"/>
      <c r="Q16" s="163">
        <f t="shared" ref="Q16:Q18" si="1">SUM(G16:P16)</f>
        <v>707616000</v>
      </c>
      <c r="S16" s="43"/>
      <c r="T16" s="43"/>
      <c r="U16" s="43"/>
      <c r="V16" s="43"/>
    </row>
    <row r="17" spans="2:24" s="9" customFormat="1" ht="15.6" customHeight="1" x14ac:dyDescent="0.3">
      <c r="B17" s="159"/>
      <c r="C17" s="9" t="s">
        <v>152</v>
      </c>
      <c r="E17" s="160"/>
      <c r="G17" s="161">
        <f>'Summary BR'!F17</f>
        <v>240000000</v>
      </c>
      <c r="H17" s="162">
        <f t="shared" ref="H17:J17" si="2">G17</f>
        <v>240000000</v>
      </c>
      <c r="I17" s="162">
        <f t="shared" si="2"/>
        <v>240000000</v>
      </c>
      <c r="J17" s="162">
        <f t="shared" si="2"/>
        <v>240000000</v>
      </c>
      <c r="K17" s="162">
        <v>0</v>
      </c>
      <c r="L17" s="162"/>
      <c r="M17" s="162"/>
      <c r="N17" s="162"/>
      <c r="O17" s="162"/>
      <c r="P17" s="162"/>
      <c r="Q17" s="163">
        <f t="shared" si="1"/>
        <v>960000000</v>
      </c>
      <c r="R17" s="164"/>
      <c r="S17" s="165"/>
      <c r="T17" s="165"/>
      <c r="U17" s="165"/>
      <c r="V17" s="165"/>
    </row>
    <row r="18" spans="2:24" x14ac:dyDescent="0.3">
      <c r="B18" s="1"/>
      <c r="C18" t="s">
        <v>180</v>
      </c>
      <c r="E18" s="17"/>
      <c r="G18" s="129">
        <f>F9*125000*12</f>
        <v>136500000</v>
      </c>
      <c r="H18" s="129">
        <f>G18</f>
        <v>136500000</v>
      </c>
      <c r="I18" s="129">
        <f>91*125000*12</f>
        <v>136500000</v>
      </c>
      <c r="J18" s="129">
        <f>I18</f>
        <v>136500000</v>
      </c>
      <c r="K18" s="129">
        <v>0</v>
      </c>
      <c r="L18" s="129"/>
      <c r="M18" s="129"/>
      <c r="N18" s="129"/>
      <c r="O18" s="129"/>
      <c r="P18" s="129"/>
      <c r="Q18" s="137">
        <f t="shared" si="1"/>
        <v>546000000</v>
      </c>
      <c r="S18" s="47"/>
      <c r="T18" s="47"/>
      <c r="U18" s="47"/>
      <c r="V18" s="47"/>
    </row>
    <row r="19" spans="2:24" x14ac:dyDescent="0.3">
      <c r="B19" s="63" t="s">
        <v>124</v>
      </c>
      <c r="C19" s="174" t="s">
        <v>154</v>
      </c>
      <c r="D19" s="63"/>
      <c r="E19" s="235"/>
      <c r="F19" s="236"/>
      <c r="G19" s="64">
        <f>SUM(G16:G18)</f>
        <v>553404000</v>
      </c>
      <c r="H19" s="64">
        <f t="shared" ref="H19:J19" si="3">SUM(H16:H18)</f>
        <v>553404000</v>
      </c>
      <c r="I19" s="64">
        <f t="shared" si="3"/>
        <v>553404000</v>
      </c>
      <c r="J19" s="64">
        <f t="shared" si="3"/>
        <v>553404000</v>
      </c>
      <c r="K19" s="64">
        <f t="shared" ref="K19" si="4">SUM(K16:K18)</f>
        <v>0</v>
      </c>
      <c r="L19" s="64">
        <f t="shared" ref="L19:P19" si="5">SUM(L17:L18)</f>
        <v>0</v>
      </c>
      <c r="M19" s="64">
        <f t="shared" si="5"/>
        <v>0</v>
      </c>
      <c r="N19" s="64">
        <f t="shared" si="5"/>
        <v>0</v>
      </c>
      <c r="O19" s="64">
        <f t="shared" si="5"/>
        <v>0</v>
      </c>
      <c r="P19" s="64">
        <f t="shared" si="5"/>
        <v>0</v>
      </c>
      <c r="Q19" s="138">
        <f>SUM(Q16:Q18)</f>
        <v>2213616000</v>
      </c>
      <c r="R19" s="43"/>
      <c r="S19" s="48"/>
      <c r="T19" s="48"/>
      <c r="U19" s="48"/>
      <c r="V19" s="48"/>
      <c r="W19" s="43"/>
      <c r="X19" s="45"/>
    </row>
    <row r="20" spans="2:24" x14ac:dyDescent="0.3">
      <c r="B20" s="1" t="s">
        <v>14</v>
      </c>
      <c r="E20" s="17"/>
      <c r="F20" s="17"/>
      <c r="G20" s="18"/>
      <c r="H20" s="17"/>
      <c r="I20" s="19"/>
      <c r="J20" s="19"/>
      <c r="K20" s="19"/>
      <c r="L20" s="19"/>
      <c r="M20" s="19"/>
      <c r="N20" s="19"/>
      <c r="O20" s="19"/>
      <c r="P20" s="19"/>
      <c r="Q20" s="139"/>
      <c r="R20" s="46"/>
      <c r="S20" s="50"/>
      <c r="T20" s="50"/>
      <c r="U20" s="50"/>
      <c r="V20" s="50"/>
      <c r="W20" s="45"/>
      <c r="X20" s="45"/>
    </row>
    <row r="21" spans="2:24" x14ac:dyDescent="0.3">
      <c r="C21" t="s">
        <v>125</v>
      </c>
      <c r="E21" s="130"/>
      <c r="G21" s="13">
        <f>'Summary BR'!$I$14/2</f>
        <v>788287500</v>
      </c>
      <c r="H21" s="13">
        <f>'Summary BR'!$I$14/2</f>
        <v>788287500</v>
      </c>
      <c r="I21" s="13">
        <v>0</v>
      </c>
      <c r="J21" s="13">
        <v>0</v>
      </c>
      <c r="K21" s="13">
        <v>0</v>
      </c>
      <c r="L21" s="13"/>
      <c r="M21" s="13"/>
      <c r="N21" s="13"/>
      <c r="O21" s="13"/>
      <c r="P21" s="13"/>
      <c r="Q21" s="137">
        <f>SUM(G21:P21)</f>
        <v>1576575000</v>
      </c>
      <c r="R21" s="43" t="s">
        <v>49</v>
      </c>
      <c r="S21" s="43"/>
      <c r="T21" s="43"/>
      <c r="U21" s="43"/>
      <c r="V21" s="43"/>
      <c r="W21" s="44"/>
      <c r="X21" s="45"/>
    </row>
    <row r="22" spans="2:24" x14ac:dyDescent="0.3">
      <c r="C22" t="s">
        <v>15</v>
      </c>
      <c r="F22" s="96"/>
      <c r="G22" s="13">
        <f>3000000*12</f>
        <v>36000000</v>
      </c>
      <c r="H22" s="13">
        <f>G22</f>
        <v>36000000</v>
      </c>
      <c r="I22" s="13">
        <f t="shared" ref="I22:J23" si="6">H22</f>
        <v>36000000</v>
      </c>
      <c r="J22" s="13">
        <f t="shared" si="6"/>
        <v>36000000</v>
      </c>
      <c r="K22" s="13">
        <v>0</v>
      </c>
      <c r="L22" s="13"/>
      <c r="M22" s="13"/>
      <c r="N22" s="13"/>
      <c r="O22" s="13"/>
      <c r="P22" s="13"/>
      <c r="Q22" s="137">
        <f t="shared" ref="Q22:Q24" si="7">SUM(G22:P22)</f>
        <v>144000000</v>
      </c>
      <c r="R22" s="43"/>
      <c r="S22" s="51"/>
      <c r="T22" s="51"/>
      <c r="U22" s="51"/>
      <c r="V22" s="51"/>
      <c r="W22" s="44"/>
      <c r="X22" s="45"/>
    </row>
    <row r="23" spans="2:24" x14ac:dyDescent="0.3">
      <c r="C23" t="s">
        <v>41</v>
      </c>
      <c r="G23" s="92">
        <f>(PARAMETER!$B$46*3)+PARAMETER!L29</f>
        <v>47080000</v>
      </c>
      <c r="H23" s="92">
        <f>G23</f>
        <v>47080000</v>
      </c>
      <c r="I23" s="92">
        <f t="shared" si="6"/>
        <v>47080000</v>
      </c>
      <c r="J23" s="92">
        <f t="shared" si="6"/>
        <v>47080000</v>
      </c>
      <c r="K23" s="92">
        <v>0</v>
      </c>
      <c r="L23" s="92"/>
      <c r="M23" s="92"/>
      <c r="N23" s="92"/>
      <c r="O23" s="92"/>
      <c r="P23" s="92"/>
      <c r="Q23" s="137">
        <f>SUM(G23:P23)</f>
        <v>188320000</v>
      </c>
      <c r="R23" s="43"/>
      <c r="S23" s="51"/>
      <c r="T23" s="51"/>
      <c r="U23" s="51"/>
      <c r="V23" s="51"/>
      <c r="W23" s="44"/>
      <c r="X23" s="45"/>
    </row>
    <row r="24" spans="2:24" x14ac:dyDescent="0.3">
      <c r="B24" s="15"/>
      <c r="C24" s="15" t="s">
        <v>2</v>
      </c>
      <c r="D24" s="15"/>
      <c r="E24" s="15"/>
      <c r="F24" s="15"/>
      <c r="G24" s="20">
        <v>20000000</v>
      </c>
      <c r="H24" s="20">
        <f>G24*1.02</f>
        <v>20400000</v>
      </c>
      <c r="I24" s="20">
        <f t="shared" ref="I24:J24" si="8">H24*1.02</f>
        <v>20808000</v>
      </c>
      <c r="J24" s="20">
        <f t="shared" si="8"/>
        <v>21224160</v>
      </c>
      <c r="K24" s="20">
        <f t="shared" ref="K24" si="9">K19*$F$5</f>
        <v>0</v>
      </c>
      <c r="L24" s="20"/>
      <c r="M24" s="20"/>
      <c r="N24" s="20"/>
      <c r="O24" s="20"/>
      <c r="P24" s="20"/>
      <c r="Q24" s="137">
        <f t="shared" si="7"/>
        <v>82432160</v>
      </c>
      <c r="R24" s="47"/>
      <c r="S24" s="51"/>
      <c r="T24" s="51"/>
      <c r="U24" s="51"/>
      <c r="V24" s="51"/>
      <c r="W24" s="44"/>
      <c r="X24" s="45"/>
    </row>
    <row r="25" spans="2:24" s="1" customFormat="1" x14ac:dyDescent="0.3">
      <c r="B25" s="63" t="s">
        <v>16</v>
      </c>
      <c r="C25" s="63"/>
      <c r="D25" s="63"/>
      <c r="E25" s="63"/>
      <c r="F25" s="63"/>
      <c r="G25" s="64">
        <f t="shared" ref="G25:P25" si="10">SUM(G21:G24)</f>
        <v>891367500</v>
      </c>
      <c r="H25" s="64">
        <f>SUM(H21:H24)</f>
        <v>891767500</v>
      </c>
      <c r="I25" s="64">
        <f t="shared" si="10"/>
        <v>103888000</v>
      </c>
      <c r="J25" s="64">
        <f t="shared" si="10"/>
        <v>104304160</v>
      </c>
      <c r="K25" s="64">
        <f>SUM(K21:K24)</f>
        <v>0</v>
      </c>
      <c r="L25" s="64">
        <f t="shared" si="10"/>
        <v>0</v>
      </c>
      <c r="M25" s="64">
        <f t="shared" si="10"/>
        <v>0</v>
      </c>
      <c r="N25" s="64">
        <f t="shared" si="10"/>
        <v>0</v>
      </c>
      <c r="O25" s="64">
        <f t="shared" si="10"/>
        <v>0</v>
      </c>
      <c r="P25" s="64">
        <f t="shared" si="10"/>
        <v>0</v>
      </c>
      <c r="Q25" s="138">
        <f>SUM(Q21:Q24)</f>
        <v>1991327160</v>
      </c>
      <c r="R25" s="48"/>
      <c r="S25" s="53"/>
      <c r="T25" s="53"/>
      <c r="U25" s="53"/>
      <c r="V25" s="53"/>
      <c r="W25" s="48"/>
      <c r="X25" s="49"/>
    </row>
    <row r="26" spans="2:24" s="1" customFormat="1" x14ac:dyDescent="0.3">
      <c r="B26" s="1" t="s">
        <v>17</v>
      </c>
      <c r="G26" s="168">
        <f t="shared" ref="G26:Q26" si="11">G19-G25</f>
        <v>-337963500</v>
      </c>
      <c r="H26" s="168">
        <f t="shared" si="11"/>
        <v>-338363500</v>
      </c>
      <c r="I26" s="21">
        <f t="shared" si="11"/>
        <v>449516000</v>
      </c>
      <c r="J26" s="21">
        <f t="shared" si="11"/>
        <v>449099840</v>
      </c>
      <c r="K26" s="21">
        <f t="shared" si="11"/>
        <v>0</v>
      </c>
      <c r="L26" s="21">
        <f t="shared" si="11"/>
        <v>0</v>
      </c>
      <c r="M26" s="21">
        <f t="shared" si="11"/>
        <v>0</v>
      </c>
      <c r="N26" s="21">
        <f t="shared" si="11"/>
        <v>0</v>
      </c>
      <c r="O26" s="21">
        <f t="shared" si="11"/>
        <v>0</v>
      </c>
      <c r="P26" s="21">
        <f t="shared" si="11"/>
        <v>0</v>
      </c>
      <c r="Q26" s="140">
        <f t="shared" si="11"/>
        <v>222288840</v>
      </c>
      <c r="R26" s="48"/>
      <c r="S26" s="51"/>
      <c r="T26" s="51"/>
      <c r="U26" s="51"/>
      <c r="V26" s="51"/>
      <c r="W26" s="48"/>
      <c r="X26" s="49"/>
    </row>
    <row r="27" spans="2:24" s="1" customFormat="1" x14ac:dyDescent="0.3">
      <c r="B27" s="22" t="s">
        <v>18</v>
      </c>
      <c r="C27" s="23"/>
      <c r="D27" s="23"/>
      <c r="E27" s="23"/>
      <c r="F27" s="23"/>
      <c r="G27" s="24">
        <v>0</v>
      </c>
      <c r="H27" s="24">
        <f t="shared" ref="H27:Q27" si="12">H26/H19</f>
        <v>-0.61142221595796198</v>
      </c>
      <c r="I27" s="24">
        <f t="shared" si="12"/>
        <v>0.81227457698173489</v>
      </c>
      <c r="J27" s="24">
        <f t="shared" si="12"/>
        <v>0.81152257663479122</v>
      </c>
      <c r="K27" s="24" t="e">
        <f t="shared" si="12"/>
        <v>#DIV/0!</v>
      </c>
      <c r="L27" s="24" t="e">
        <f t="shared" si="12"/>
        <v>#DIV/0!</v>
      </c>
      <c r="M27" s="24" t="e">
        <f t="shared" si="12"/>
        <v>#DIV/0!</v>
      </c>
      <c r="N27" s="24" t="e">
        <f t="shared" si="12"/>
        <v>#DIV/0!</v>
      </c>
      <c r="O27" s="24" t="e">
        <f t="shared" si="12"/>
        <v>#DIV/0!</v>
      </c>
      <c r="P27" s="24" t="e">
        <f t="shared" si="12"/>
        <v>#DIV/0!</v>
      </c>
      <c r="Q27" s="141">
        <f t="shared" si="12"/>
        <v>0.10041888023939112</v>
      </c>
      <c r="R27" s="50"/>
      <c r="S27" s="45"/>
      <c r="T27" s="45"/>
      <c r="U27" s="45"/>
      <c r="V27" s="45"/>
      <c r="W27" s="50"/>
      <c r="X27" s="49"/>
    </row>
    <row r="28" spans="2:24" x14ac:dyDescent="0.3">
      <c r="B28" s="15" t="s">
        <v>19</v>
      </c>
      <c r="C28" s="15"/>
      <c r="D28" s="15"/>
      <c r="E28" s="15"/>
      <c r="F28" s="15"/>
      <c r="G28" s="16">
        <f t="shared" ref="G28:K28" si="13">G47</f>
        <v>0</v>
      </c>
      <c r="H28" s="16">
        <f t="shared" si="13"/>
        <v>0</v>
      </c>
      <c r="I28" s="16">
        <f t="shared" si="13"/>
        <v>0</v>
      </c>
      <c r="J28" s="16">
        <f t="shared" si="13"/>
        <v>0</v>
      </c>
      <c r="K28" s="16">
        <f t="shared" si="13"/>
        <v>0</v>
      </c>
      <c r="L28" s="16"/>
      <c r="M28" s="16"/>
      <c r="N28" s="16"/>
      <c r="O28" s="16"/>
      <c r="P28" s="16"/>
      <c r="Q28" s="142">
        <f>SUM(G28:L28)</f>
        <v>0</v>
      </c>
      <c r="R28" s="43"/>
      <c r="S28" s="52"/>
      <c r="T28" s="52"/>
      <c r="U28" s="52"/>
      <c r="V28" s="52"/>
      <c r="W28" s="43"/>
      <c r="X28" s="45"/>
    </row>
    <row r="29" spans="2:24" x14ac:dyDescent="0.3">
      <c r="B29" s="25" t="s">
        <v>20</v>
      </c>
      <c r="G29" s="26">
        <f t="shared" ref="G29:K29" si="14">G26-G28</f>
        <v>-337963500</v>
      </c>
      <c r="H29" s="26">
        <f>H26-H28</f>
        <v>-338363500</v>
      </c>
      <c r="I29" s="26">
        <f t="shared" si="14"/>
        <v>449516000</v>
      </c>
      <c r="J29" s="26">
        <f t="shared" si="14"/>
        <v>449099840</v>
      </c>
      <c r="K29" s="26">
        <f t="shared" si="14"/>
        <v>0</v>
      </c>
      <c r="L29" s="26">
        <f t="shared" ref="L29:P29" si="15">L26-L28</f>
        <v>0</v>
      </c>
      <c r="M29" s="26">
        <f t="shared" si="15"/>
        <v>0</v>
      </c>
      <c r="N29" s="26">
        <f t="shared" si="15"/>
        <v>0</v>
      </c>
      <c r="O29" s="26">
        <f t="shared" si="15"/>
        <v>0</v>
      </c>
      <c r="P29" s="26">
        <f t="shared" si="15"/>
        <v>0</v>
      </c>
      <c r="Q29" s="143">
        <f>Q26-Q28</f>
        <v>222288840</v>
      </c>
      <c r="R29" s="51"/>
      <c r="S29" s="52"/>
      <c r="T29" s="52"/>
      <c r="U29" s="52"/>
      <c r="V29" s="52"/>
      <c r="W29" s="51"/>
      <c r="X29" s="45"/>
    </row>
    <row r="30" spans="2:24" x14ac:dyDescent="0.3">
      <c r="B30" s="25" t="s">
        <v>33</v>
      </c>
      <c r="G30" s="67"/>
      <c r="H30" s="67"/>
      <c r="I30" s="67"/>
      <c r="J30" s="67"/>
      <c r="K30" s="67"/>
      <c r="L30" s="67"/>
      <c r="M30" s="67"/>
      <c r="N30" s="67"/>
      <c r="O30" s="148"/>
      <c r="P30" s="148">
        <f>PARAMETER!K4</f>
        <v>0</v>
      </c>
      <c r="Q30" s="137">
        <f t="shared" ref="Q30" si="16">SUM(G30:P30)</f>
        <v>0</v>
      </c>
      <c r="R30" s="51"/>
      <c r="S30" s="52"/>
      <c r="T30" s="52"/>
      <c r="U30" s="52"/>
      <c r="V30" s="52"/>
      <c r="W30" s="51"/>
      <c r="X30" s="45"/>
    </row>
    <row r="31" spans="2:24" x14ac:dyDescent="0.3">
      <c r="B31" s="25" t="s">
        <v>34</v>
      </c>
      <c r="G31" s="148">
        <f t="shared" ref="G31:K31" si="17">G29-G30</f>
        <v>-337963500</v>
      </c>
      <c r="H31" s="148">
        <f>H29-H30</f>
        <v>-338363500</v>
      </c>
      <c r="I31" s="67">
        <f t="shared" si="17"/>
        <v>449516000</v>
      </c>
      <c r="J31" s="67">
        <f t="shared" si="17"/>
        <v>449099840</v>
      </c>
      <c r="K31" s="67">
        <f t="shared" si="17"/>
        <v>0</v>
      </c>
      <c r="L31" s="67">
        <f t="shared" ref="L31:P31" si="18">L29-L30</f>
        <v>0</v>
      </c>
      <c r="M31" s="67">
        <f t="shared" si="18"/>
        <v>0</v>
      </c>
      <c r="N31" s="67">
        <f t="shared" si="18"/>
        <v>0</v>
      </c>
      <c r="O31" s="67">
        <f t="shared" si="18"/>
        <v>0</v>
      </c>
      <c r="P31" s="67">
        <f t="shared" si="18"/>
        <v>0</v>
      </c>
      <c r="Q31" s="137">
        <f>SUM(G31:P31)</f>
        <v>222288840</v>
      </c>
      <c r="R31" s="51"/>
      <c r="S31" s="31"/>
      <c r="T31" s="31"/>
      <c r="U31" s="31"/>
      <c r="V31" s="31"/>
      <c r="W31" s="51"/>
      <c r="X31" s="45"/>
    </row>
    <row r="32" spans="2:24" x14ac:dyDescent="0.3">
      <c r="B32" s="15" t="s">
        <v>21</v>
      </c>
      <c r="C32" s="15"/>
      <c r="D32" s="15"/>
      <c r="E32" s="15"/>
      <c r="F32" s="15"/>
      <c r="G32" s="65">
        <f>IF(G31&lt;0,0,G31*$F$3)</f>
        <v>0</v>
      </c>
      <c r="H32" s="65">
        <f t="shared" ref="H32:K32" si="19">IF(H31&lt;0,0,H31*$F$3)</f>
        <v>0</v>
      </c>
      <c r="I32" s="65">
        <f t="shared" si="19"/>
        <v>8990320</v>
      </c>
      <c r="J32" s="65">
        <f t="shared" si="19"/>
        <v>8981996.8000000007</v>
      </c>
      <c r="K32" s="65">
        <f t="shared" si="19"/>
        <v>0</v>
      </c>
      <c r="L32" s="65">
        <f t="shared" ref="L32:P32" si="20">IF(L31&lt;0,0,L31*$F$3)</f>
        <v>0</v>
      </c>
      <c r="M32" s="65">
        <f t="shared" si="20"/>
        <v>0</v>
      </c>
      <c r="N32" s="65">
        <f t="shared" si="20"/>
        <v>0</v>
      </c>
      <c r="O32" s="65">
        <f t="shared" si="20"/>
        <v>0</v>
      </c>
      <c r="P32" s="65">
        <f t="shared" si="20"/>
        <v>0</v>
      </c>
      <c r="Q32" s="137">
        <f>SUM(G32:P32)</f>
        <v>17972316.800000001</v>
      </c>
      <c r="R32" s="53"/>
      <c r="W32" s="52"/>
      <c r="X32" s="45"/>
    </row>
    <row r="33" spans="2:26" ht="16.2" thickBot="1" x14ac:dyDescent="0.35">
      <c r="B33" s="28" t="s">
        <v>48</v>
      </c>
      <c r="C33" s="28"/>
      <c r="D33" s="28"/>
      <c r="E33" s="28"/>
      <c r="F33" s="28"/>
      <c r="G33" s="29">
        <f>G31-G32</f>
        <v>-337963500</v>
      </c>
      <c r="H33" s="29">
        <f>H31-H32</f>
        <v>-338363500</v>
      </c>
      <c r="I33" s="29">
        <f t="shared" ref="I33:O33" si="21">I31-I32</f>
        <v>440525680</v>
      </c>
      <c r="J33" s="29">
        <f t="shared" si="21"/>
        <v>440117843.19999999</v>
      </c>
      <c r="K33" s="29">
        <f t="shared" si="21"/>
        <v>0</v>
      </c>
      <c r="L33" s="29">
        <f t="shared" si="21"/>
        <v>0</v>
      </c>
      <c r="M33" s="29">
        <f t="shared" si="21"/>
        <v>0</v>
      </c>
      <c r="N33" s="29">
        <f t="shared" si="21"/>
        <v>0</v>
      </c>
      <c r="O33" s="29">
        <f t="shared" si="21"/>
        <v>0</v>
      </c>
      <c r="P33" s="29">
        <f>P31-P32</f>
        <v>0</v>
      </c>
      <c r="Q33" s="29">
        <f>Q31-Q32</f>
        <v>204316523.19999999</v>
      </c>
      <c r="R33" s="51"/>
      <c r="W33" s="51"/>
      <c r="X33" s="45"/>
    </row>
    <row r="34" spans="2:26" x14ac:dyDescent="0.3">
      <c r="R34" s="45"/>
      <c r="W34" s="45"/>
      <c r="X34" s="45"/>
    </row>
    <row r="35" spans="2:26" x14ac:dyDescent="0.3">
      <c r="B35" s="15" t="s">
        <v>22</v>
      </c>
      <c r="C35" s="15"/>
      <c r="D35" s="15"/>
      <c r="E35" s="15"/>
      <c r="F35" s="30">
        <f>-G9+-G10</f>
        <v>0</v>
      </c>
      <c r="G35" s="30"/>
      <c r="H35" s="30">
        <f>-H9+-H10</f>
        <v>0</v>
      </c>
      <c r="I35" s="30">
        <f>-I9+-I10</f>
        <v>0</v>
      </c>
      <c r="J35" s="30">
        <f>-K9+-K10</f>
        <v>0</v>
      </c>
      <c r="K35" s="30">
        <f>-L9+-L10</f>
        <v>0</v>
      </c>
      <c r="L35" s="30">
        <f>-R9+-R10</f>
        <v>0</v>
      </c>
      <c r="M35" s="30">
        <f>-S9+-S10</f>
        <v>0</v>
      </c>
      <c r="N35" s="30">
        <f>-T9+-T10</f>
        <v>0</v>
      </c>
      <c r="O35" s="30">
        <f>-U9+-U10</f>
        <v>0</v>
      </c>
      <c r="P35" s="30">
        <f>-V9+-V10</f>
        <v>0</v>
      </c>
      <c r="Q35" s="30">
        <f>SUM(F35:P35)</f>
        <v>0</v>
      </c>
      <c r="R35" s="52"/>
      <c r="W35" s="52"/>
      <c r="X35" s="45"/>
    </row>
    <row r="36" spans="2:26" x14ac:dyDescent="0.3">
      <c r="B36" t="s">
        <v>23</v>
      </c>
      <c r="F36" s="27">
        <f>F35</f>
        <v>0</v>
      </c>
      <c r="G36" s="27">
        <f>G35+G33+G28</f>
        <v>-337963500</v>
      </c>
      <c r="H36" s="27">
        <f>H35+H33+H28</f>
        <v>-338363500</v>
      </c>
      <c r="I36" s="27">
        <f t="shared" ref="I36" si="22">I35+I33+I28</f>
        <v>440525680</v>
      </c>
      <c r="J36" s="27">
        <f t="shared" ref="J36:K36" si="23">J35+J33+J28</f>
        <v>440117843.19999999</v>
      </c>
      <c r="K36" s="27">
        <f t="shared" si="23"/>
        <v>0</v>
      </c>
      <c r="L36" s="27">
        <f t="shared" ref="L36:O36" si="24">L35+L33+L28</f>
        <v>0</v>
      </c>
      <c r="M36" s="27">
        <f t="shared" si="24"/>
        <v>0</v>
      </c>
      <c r="N36" s="27">
        <f t="shared" si="24"/>
        <v>0</v>
      </c>
      <c r="O36" s="27">
        <f t="shared" si="24"/>
        <v>0</v>
      </c>
      <c r="P36" s="27">
        <f>P35+P33+P28</f>
        <v>0</v>
      </c>
      <c r="Q36" s="190">
        <f>SUM(F36:P36)</f>
        <v>204316523.19999999</v>
      </c>
      <c r="R36" s="52"/>
      <c r="S36" s="32"/>
      <c r="T36" s="9"/>
      <c r="U36" s="32"/>
      <c r="V36" s="9"/>
      <c r="W36" s="52"/>
      <c r="X36" s="45"/>
    </row>
    <row r="37" spans="2:26" x14ac:dyDescent="0.3">
      <c r="B37" t="s">
        <v>24</v>
      </c>
      <c r="F37" s="27">
        <f>F36</f>
        <v>0</v>
      </c>
      <c r="G37" s="27">
        <f>F37+G36</f>
        <v>-337963500</v>
      </c>
      <c r="H37" s="27">
        <f t="shared" ref="H37" si="25">G37+H36</f>
        <v>-676327000</v>
      </c>
      <c r="I37" s="27">
        <f t="shared" ref="I37" si="26">H37+I36</f>
        <v>-235801320</v>
      </c>
      <c r="J37" s="27">
        <f t="shared" ref="J37" si="27">I37+J36</f>
        <v>204316523.19999999</v>
      </c>
      <c r="K37" s="27"/>
      <c r="L37" s="27"/>
      <c r="M37" s="27"/>
      <c r="N37" s="27"/>
      <c r="O37" s="27"/>
      <c r="P37" s="27"/>
      <c r="Q37" s="190"/>
      <c r="R37" s="52"/>
      <c r="S37" s="34"/>
      <c r="T37" s="34"/>
      <c r="U37" s="34"/>
      <c r="V37" s="34"/>
      <c r="W37" s="52"/>
      <c r="X37" s="45"/>
    </row>
    <row r="38" spans="2:26" x14ac:dyDescent="0.3">
      <c r="B38" t="s">
        <v>25</v>
      </c>
      <c r="F38" s="27"/>
      <c r="G38" s="155">
        <f>IF(AND(F37&lt;0,G37&gt;0),G43-(G37/G36),0)</f>
        <v>0</v>
      </c>
      <c r="H38" s="155">
        <f t="shared" ref="H38:M38" si="28">IF(AND(G37&lt;0,H37&gt;0),H43-(H37/H36),0)</f>
        <v>0</v>
      </c>
      <c r="I38" s="155">
        <f t="shared" si="28"/>
        <v>0</v>
      </c>
      <c r="J38" s="155">
        <f t="shared" si="28"/>
        <v>3.5357685984406824</v>
      </c>
      <c r="K38" s="155">
        <f t="shared" si="28"/>
        <v>0</v>
      </c>
      <c r="L38" s="155">
        <f t="shared" si="28"/>
        <v>0</v>
      </c>
      <c r="M38" s="155">
        <f t="shared" si="28"/>
        <v>0</v>
      </c>
      <c r="N38" s="155">
        <f>IF(AND(M37&lt;0,N37&gt;0),N43-(N37/N36),0)</f>
        <v>0</v>
      </c>
      <c r="O38" s="155">
        <f t="shared" ref="O38:P38" si="29">IF(AND(O37&lt;0,P37&gt;0),N43-(N37/N36),0)</f>
        <v>0</v>
      </c>
      <c r="P38" s="155">
        <f t="shared" si="29"/>
        <v>0</v>
      </c>
      <c r="Q38" s="31"/>
      <c r="R38" s="31"/>
      <c r="S38" s="35"/>
      <c r="T38" s="35"/>
      <c r="U38" s="35"/>
      <c r="V38" s="35"/>
      <c r="W38" s="31"/>
    </row>
    <row r="39" spans="2:26" x14ac:dyDescent="0.3">
      <c r="B39" s="55" t="s">
        <v>26</v>
      </c>
      <c r="C39" s="56"/>
      <c r="D39" s="56"/>
      <c r="E39" s="56"/>
      <c r="F39" s="76">
        <f>IRR(G36:P36)</f>
        <v>0.14113441721882469</v>
      </c>
      <c r="S39" s="35"/>
      <c r="T39" s="35"/>
      <c r="U39" s="35"/>
      <c r="V39" s="35"/>
    </row>
    <row r="40" spans="2:26" x14ac:dyDescent="0.3">
      <c r="B40" s="57" t="s">
        <v>27</v>
      </c>
      <c r="C40" s="58"/>
      <c r="D40" s="58"/>
      <c r="E40" s="58"/>
      <c r="F40" s="59">
        <f>NPV(F4,H36:J36)+G36</f>
        <v>49171177.836213231</v>
      </c>
      <c r="G40" s="66"/>
      <c r="H40" s="75"/>
      <c r="I40" s="14"/>
      <c r="S40" s="35"/>
      <c r="T40" s="35"/>
      <c r="U40" s="35"/>
      <c r="V40" s="35"/>
    </row>
    <row r="41" spans="2:26" x14ac:dyDescent="0.3">
      <c r="B41" s="57" t="s">
        <v>28</v>
      </c>
      <c r="C41" s="58"/>
      <c r="D41" s="58"/>
      <c r="E41" s="58"/>
      <c r="F41" s="60">
        <f>Q27</f>
        <v>0.10041888023939112</v>
      </c>
      <c r="H41" s="66"/>
      <c r="S41" s="35"/>
      <c r="T41" s="35"/>
      <c r="U41" s="35"/>
      <c r="V41" s="35"/>
    </row>
    <row r="42" spans="2:26" x14ac:dyDescent="0.3">
      <c r="B42" s="61" t="s">
        <v>29</v>
      </c>
      <c r="C42" s="62"/>
      <c r="D42" s="62"/>
      <c r="E42" s="62"/>
      <c r="F42" s="166">
        <f>SUM(F38:P38)</f>
        <v>3.5357685984406824</v>
      </c>
      <c r="S42" s="35"/>
      <c r="T42" s="35"/>
      <c r="U42" s="35"/>
      <c r="V42" s="35"/>
    </row>
    <row r="43" spans="2:26" x14ac:dyDescent="0.3">
      <c r="G43" s="9">
        <v>1</v>
      </c>
      <c r="H43" s="32">
        <f>G43+1</f>
        <v>2</v>
      </c>
      <c r="I43" s="32">
        <f t="shared" ref="I43:P43" si="30">H43+1</f>
        <v>3</v>
      </c>
      <c r="J43" s="32">
        <f t="shared" si="30"/>
        <v>4</v>
      </c>
      <c r="K43" s="32">
        <f t="shared" si="30"/>
        <v>5</v>
      </c>
      <c r="L43" s="32">
        <f t="shared" si="30"/>
        <v>6</v>
      </c>
      <c r="M43" s="32">
        <f t="shared" si="30"/>
        <v>7</v>
      </c>
      <c r="N43" s="32">
        <f t="shared" si="30"/>
        <v>8</v>
      </c>
      <c r="O43" s="32">
        <f t="shared" si="30"/>
        <v>9</v>
      </c>
      <c r="P43" s="32">
        <f t="shared" si="30"/>
        <v>10</v>
      </c>
      <c r="Q43" s="32"/>
      <c r="R43" s="9"/>
      <c r="S43" s="42"/>
      <c r="T43" s="42"/>
      <c r="U43" s="42"/>
      <c r="V43" s="42"/>
    </row>
    <row r="44" spans="2:26" ht="16.2" thickBot="1" x14ac:dyDescent="0.35">
      <c r="B44" s="33" t="s">
        <v>30</v>
      </c>
      <c r="E44" s="34" t="s">
        <v>31</v>
      </c>
      <c r="G44" s="34" t="str">
        <f t="shared" ref="G44:P44" si="31">G13</f>
        <v>Year 1</v>
      </c>
      <c r="H44" s="34" t="str">
        <f t="shared" si="31"/>
        <v>Year 2</v>
      </c>
      <c r="I44" s="34" t="str">
        <f t="shared" si="31"/>
        <v>Year 3</v>
      </c>
      <c r="J44" s="34" t="str">
        <f t="shared" si="31"/>
        <v>Year 4</v>
      </c>
      <c r="K44" s="34" t="str">
        <f t="shared" si="31"/>
        <v>Year 5</v>
      </c>
      <c r="L44" s="34" t="str">
        <f t="shared" si="31"/>
        <v>Year 6</v>
      </c>
      <c r="M44" s="34" t="str">
        <f t="shared" si="31"/>
        <v>Year 7</v>
      </c>
      <c r="N44" s="34" t="str">
        <f t="shared" si="31"/>
        <v>Year 8</v>
      </c>
      <c r="O44" s="34" t="str">
        <f t="shared" si="31"/>
        <v>Year 9</v>
      </c>
      <c r="P44" s="34" t="str">
        <f t="shared" si="31"/>
        <v>Year 10</v>
      </c>
      <c r="Q44" s="69" t="s">
        <v>12</v>
      </c>
      <c r="R44" s="34"/>
      <c r="W44" s="34"/>
    </row>
    <row r="45" spans="2:26" x14ac:dyDescent="0.3">
      <c r="D45" t="s">
        <v>6</v>
      </c>
      <c r="E45">
        <v>5</v>
      </c>
      <c r="G45" s="68">
        <f>SUM(G9:G10)/$E45</f>
        <v>0</v>
      </c>
      <c r="H45" s="35">
        <f>G45</f>
        <v>0</v>
      </c>
      <c r="I45" s="35">
        <f>H45</f>
        <v>0</v>
      </c>
      <c r="J45" s="35">
        <f>I45</f>
        <v>0</v>
      </c>
      <c r="K45" s="35">
        <f>J45</f>
        <v>0</v>
      </c>
      <c r="L45" s="35"/>
      <c r="M45" s="35"/>
      <c r="N45" s="35"/>
      <c r="O45" s="35"/>
      <c r="P45" s="35"/>
      <c r="Q45" s="35">
        <f t="shared" ref="Q45:Q46" si="32">SUM(G45:P45)</f>
        <v>0</v>
      </c>
      <c r="R45" s="35"/>
      <c r="W45" s="36"/>
    </row>
    <row r="46" spans="2:26" hidden="1" x14ac:dyDescent="0.3">
      <c r="D46" t="s">
        <v>7</v>
      </c>
      <c r="E46">
        <v>1</v>
      </c>
      <c r="H46" s="68">
        <f>SUM(H9:H10)/$E$46</f>
        <v>0</v>
      </c>
      <c r="I46" s="68">
        <f t="shared" ref="I46:P46" si="33">H46</f>
        <v>0</v>
      </c>
      <c r="J46" s="68">
        <f t="shared" si="33"/>
        <v>0</v>
      </c>
      <c r="K46" s="68">
        <f t="shared" si="33"/>
        <v>0</v>
      </c>
      <c r="L46" s="68">
        <f t="shared" si="33"/>
        <v>0</v>
      </c>
      <c r="M46" s="68">
        <f t="shared" si="33"/>
        <v>0</v>
      </c>
      <c r="N46" s="68">
        <f t="shared" si="33"/>
        <v>0</v>
      </c>
      <c r="O46" s="68">
        <f t="shared" si="33"/>
        <v>0</v>
      </c>
      <c r="P46" s="68">
        <f t="shared" si="33"/>
        <v>0</v>
      </c>
      <c r="Q46" s="68">
        <f t="shared" si="32"/>
        <v>0</v>
      </c>
      <c r="R46" s="35"/>
      <c r="W46" s="36"/>
    </row>
    <row r="47" spans="2:26" ht="16.2" thickBot="1" x14ac:dyDescent="0.35">
      <c r="B47" s="37" t="s">
        <v>32</v>
      </c>
      <c r="C47" s="38"/>
      <c r="D47" s="38"/>
      <c r="E47" s="38"/>
      <c r="F47" s="38"/>
      <c r="G47" s="39">
        <f t="shared" ref="G47:Q47" si="34">SUM(G45:G46)</f>
        <v>0</v>
      </c>
      <c r="H47" s="39">
        <f t="shared" si="34"/>
        <v>0</v>
      </c>
      <c r="I47" s="39">
        <f t="shared" si="34"/>
        <v>0</v>
      </c>
      <c r="J47" s="39">
        <f t="shared" si="34"/>
        <v>0</v>
      </c>
      <c r="K47" s="39">
        <f t="shared" si="34"/>
        <v>0</v>
      </c>
      <c r="L47" s="39">
        <f t="shared" si="34"/>
        <v>0</v>
      </c>
      <c r="M47" s="39">
        <f t="shared" si="34"/>
        <v>0</v>
      </c>
      <c r="N47" s="39">
        <f t="shared" si="34"/>
        <v>0</v>
      </c>
      <c r="O47" s="39">
        <f t="shared" si="34"/>
        <v>0</v>
      </c>
      <c r="P47" s="39">
        <f t="shared" si="34"/>
        <v>0</v>
      </c>
      <c r="Q47" s="39">
        <f t="shared" si="34"/>
        <v>0</v>
      </c>
      <c r="R47" s="42"/>
      <c r="W47" s="42"/>
      <c r="X47" s="40"/>
      <c r="Y47" s="40"/>
      <c r="Z47" s="40"/>
    </row>
    <row r="48" spans="2:26" ht="16.2" thickTop="1" x14ac:dyDescent="0.3">
      <c r="W48" s="14"/>
    </row>
    <row r="50" spans="6:6" x14ac:dyDescent="0.3">
      <c r="F50" t="s">
        <v>49</v>
      </c>
    </row>
  </sheetData>
  <mergeCells count="1">
    <mergeCell ref="E19:F19"/>
  </mergeCells>
  <pageMargins left="2.2200000000000002" right="0.23622047244094491" top="0.54" bottom="0.74803149606299213" header="0.31496062992125984" footer="0.31496062992125984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D6471-7FB4-4227-A36C-F517D1C3C61C}">
  <sheetPr>
    <tabColor rgb="FF92D050"/>
    <pageSetUpPr fitToPage="1"/>
  </sheetPr>
  <dimension ref="B1:Z49"/>
  <sheetViews>
    <sheetView showGridLines="0" zoomScale="80" zoomScaleNormal="80" workbookViewId="0">
      <selection activeCell="G16" sqref="G16"/>
    </sheetView>
  </sheetViews>
  <sheetFormatPr defaultColWidth="10.59765625" defaultRowHeight="15.6" x14ac:dyDescent="0.3"/>
  <cols>
    <col min="1" max="1" width="4.09765625" customWidth="1"/>
    <col min="2" max="2" width="3.59765625" customWidth="1"/>
    <col min="3" max="3" width="4.59765625" customWidth="1"/>
    <col min="4" max="4" width="18.796875" customWidth="1"/>
    <col min="5" max="5" width="12.09765625" customWidth="1"/>
    <col min="6" max="6" width="16.796875" customWidth="1"/>
    <col min="7" max="7" width="14.19921875" style="2" bestFit="1" customWidth="1"/>
    <col min="8" max="11" width="13.796875" customWidth="1"/>
    <col min="12" max="15" width="6.59765625" hidden="1" customWidth="1"/>
    <col min="16" max="16" width="25.796875" hidden="1" customWidth="1"/>
    <col min="17" max="17" width="14.796875" customWidth="1"/>
    <col min="18" max="18" width="15.796875" customWidth="1"/>
    <col min="19" max="22" width="15" bestFit="1" customWidth="1"/>
    <col min="23" max="23" width="15.59765625" bestFit="1" customWidth="1"/>
    <col min="24" max="24" width="11.59765625" bestFit="1" customWidth="1"/>
  </cols>
  <sheetData>
    <row r="1" spans="2:26" ht="21.6" customHeight="1" x14ac:dyDescent="0.5">
      <c r="B1" s="3" t="s">
        <v>0</v>
      </c>
      <c r="D1" s="81" t="s">
        <v>138</v>
      </c>
      <c r="P1" s="154" t="s">
        <v>134</v>
      </c>
      <c r="Q1" s="169" t="s">
        <v>155</v>
      </c>
    </row>
    <row r="2" spans="2:26" x14ac:dyDescent="0.3">
      <c r="C2" t="s">
        <v>1</v>
      </c>
      <c r="F2" s="5">
        <v>0.02</v>
      </c>
      <c r="Q2" s="4"/>
      <c r="R2" s="4"/>
      <c r="S2" s="4"/>
    </row>
    <row r="3" spans="2:26" x14ac:dyDescent="0.3">
      <c r="C3" t="s">
        <v>40</v>
      </c>
      <c r="F3" s="5">
        <v>0.1</v>
      </c>
      <c r="Q3" s="4"/>
      <c r="R3" s="4"/>
      <c r="S3" s="4"/>
    </row>
    <row r="4" spans="2:26" x14ac:dyDescent="0.3">
      <c r="C4" t="s">
        <v>2</v>
      </c>
      <c r="F4" s="5">
        <v>0.05</v>
      </c>
      <c r="G4" s="2" t="s">
        <v>3</v>
      </c>
      <c r="S4" s="170"/>
      <c r="T4" s="170"/>
      <c r="U4" s="170"/>
      <c r="V4" s="170"/>
    </row>
    <row r="5" spans="2:26" x14ac:dyDescent="0.3">
      <c r="C5" t="s">
        <v>4</v>
      </c>
      <c r="F5" s="6">
        <v>0</v>
      </c>
      <c r="G5" s="2" t="s">
        <v>3</v>
      </c>
    </row>
    <row r="6" spans="2:26" x14ac:dyDescent="0.3">
      <c r="C6" t="s">
        <v>126</v>
      </c>
      <c r="F6" s="5">
        <v>0.15</v>
      </c>
    </row>
    <row r="7" spans="2:26" x14ac:dyDescent="0.3">
      <c r="C7" t="s">
        <v>156</v>
      </c>
      <c r="F7" s="5">
        <v>0.85</v>
      </c>
    </row>
    <row r="8" spans="2:26" x14ac:dyDescent="0.3">
      <c r="B8" s="1"/>
      <c r="G8" s="32" t="s">
        <v>35</v>
      </c>
      <c r="H8" s="32" t="s">
        <v>36</v>
      </c>
      <c r="I8" s="32" t="s">
        <v>37</v>
      </c>
      <c r="J8" s="32" t="s">
        <v>38</v>
      </c>
      <c r="K8" s="32" t="s">
        <v>39</v>
      </c>
      <c r="L8" s="32" t="s">
        <v>127</v>
      </c>
      <c r="M8" s="32" t="s">
        <v>128</v>
      </c>
      <c r="N8" s="32" t="s">
        <v>129</v>
      </c>
      <c r="O8" s="32" t="s">
        <v>130</v>
      </c>
      <c r="P8" s="32" t="s">
        <v>131</v>
      </c>
      <c r="Q8" s="25"/>
      <c r="R8" s="41"/>
      <c r="W8" s="41"/>
      <c r="X8" s="41"/>
      <c r="Y8" s="41"/>
    </row>
    <row r="9" spans="2:26" s="70" customFormat="1" ht="16.2" thickBot="1" x14ac:dyDescent="0.35">
      <c r="B9" s="74" t="s">
        <v>47</v>
      </c>
      <c r="E9" s="70" t="s">
        <v>145</v>
      </c>
      <c r="F9" s="73"/>
      <c r="G9" s="71" t="e">
        <f>#REF!</f>
        <v>#REF!</v>
      </c>
      <c r="H9" s="71"/>
      <c r="I9" s="71">
        <v>0</v>
      </c>
      <c r="J9" s="71">
        <v>0</v>
      </c>
      <c r="K9" s="71"/>
      <c r="L9" s="71"/>
      <c r="M9" s="71"/>
      <c r="N9" s="71"/>
      <c r="O9" s="71"/>
      <c r="P9" s="71"/>
      <c r="Q9" s="147" t="e">
        <f>SUM(G9:P9)</f>
        <v>#REF!</v>
      </c>
      <c r="R9" s="72"/>
      <c r="S9"/>
      <c r="T9"/>
      <c r="U9"/>
      <c r="V9"/>
      <c r="W9" s="72"/>
      <c r="X9" s="72"/>
      <c r="Y9" s="72"/>
    </row>
    <row r="10" spans="2:26" s="132" customFormat="1" ht="1.8" customHeight="1" thickTop="1" x14ac:dyDescent="0.3">
      <c r="B10" s="131"/>
      <c r="E10" s="132" t="s">
        <v>79</v>
      </c>
      <c r="F10" s="133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47">
        <f>SUM(G10:P10)</f>
        <v>0</v>
      </c>
      <c r="R10" s="134"/>
      <c r="W10" s="134"/>
      <c r="X10" s="134"/>
      <c r="Y10" s="134"/>
    </row>
    <row r="11" spans="2:26" s="132" customFormat="1" ht="2.5499999999999998" customHeight="1" x14ac:dyDescent="0.3">
      <c r="B11" s="131"/>
      <c r="F11" s="133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W11" s="134"/>
      <c r="X11" s="134"/>
      <c r="Y11" s="134"/>
    </row>
    <row r="12" spans="2:26" x14ac:dyDescent="0.3">
      <c r="F12" s="10"/>
      <c r="G12" s="9">
        <v>2025</v>
      </c>
      <c r="H12" s="9">
        <v>2026</v>
      </c>
      <c r="I12" s="9">
        <v>2027</v>
      </c>
      <c r="J12" s="9">
        <v>2028</v>
      </c>
      <c r="K12" s="9">
        <v>2029</v>
      </c>
      <c r="L12" s="9">
        <f t="shared" ref="L12:P12" si="0">K12+1</f>
        <v>2030</v>
      </c>
      <c r="M12" s="9">
        <f t="shared" si="0"/>
        <v>2031</v>
      </c>
      <c r="N12" s="9">
        <f t="shared" si="0"/>
        <v>2032</v>
      </c>
      <c r="O12" s="9">
        <f t="shared" si="0"/>
        <v>2033</v>
      </c>
      <c r="P12" s="9">
        <f t="shared" si="0"/>
        <v>2034</v>
      </c>
      <c r="Q12" s="9"/>
      <c r="W12" s="40"/>
      <c r="X12" s="40"/>
      <c r="Y12" s="40"/>
      <c r="Z12" s="40"/>
    </row>
    <row r="13" spans="2:26" ht="16.2" thickBot="1" x14ac:dyDescent="0.35">
      <c r="B13" s="11" t="s">
        <v>11</v>
      </c>
      <c r="C13" s="7"/>
      <c r="D13" s="7"/>
      <c r="E13" s="7"/>
      <c r="F13" s="7"/>
      <c r="G13" s="8" t="s">
        <v>6</v>
      </c>
      <c r="H13" s="12" t="s">
        <v>7</v>
      </c>
      <c r="I13" s="8" t="s">
        <v>8</v>
      </c>
      <c r="J13" s="12" t="s">
        <v>9</v>
      </c>
      <c r="K13" s="8" t="s">
        <v>10</v>
      </c>
      <c r="L13" s="8" t="s">
        <v>42</v>
      </c>
      <c r="M13" s="8" t="s">
        <v>43</v>
      </c>
      <c r="N13" s="8" t="s">
        <v>44</v>
      </c>
      <c r="O13" s="8" t="s">
        <v>45</v>
      </c>
      <c r="P13" s="8" t="s">
        <v>46</v>
      </c>
      <c r="Q13" s="135" t="s">
        <v>12</v>
      </c>
      <c r="R13" s="170"/>
      <c r="S13" s="43"/>
      <c r="T13" s="43"/>
      <c r="U13" s="43"/>
      <c r="V13" s="43"/>
      <c r="W13" s="170"/>
      <c r="X13" s="40"/>
      <c r="Y13" s="40"/>
      <c r="Z13" s="40"/>
    </row>
    <row r="14" spans="2:26" x14ac:dyDescent="0.3">
      <c r="B14" t="s">
        <v>13</v>
      </c>
      <c r="G14" s="9">
        <v>12</v>
      </c>
      <c r="H14" s="9">
        <v>12</v>
      </c>
      <c r="I14" s="9">
        <v>12</v>
      </c>
      <c r="J14" s="9">
        <v>12</v>
      </c>
      <c r="K14" s="9">
        <v>12</v>
      </c>
      <c r="L14" s="9">
        <v>12</v>
      </c>
      <c r="M14" s="9">
        <v>12</v>
      </c>
      <c r="N14" s="9">
        <v>12</v>
      </c>
      <c r="O14" s="9">
        <v>12</v>
      </c>
      <c r="P14" s="9">
        <v>12</v>
      </c>
      <c r="Q14" s="136"/>
      <c r="S14" s="45"/>
      <c r="T14" s="45"/>
      <c r="U14" s="45"/>
      <c r="V14" s="45"/>
    </row>
    <row r="15" spans="2:26" x14ac:dyDescent="0.3">
      <c r="B15" s="1" t="s">
        <v>5</v>
      </c>
      <c r="E15" s="17"/>
      <c r="G15" s="18"/>
      <c r="H15" s="129"/>
      <c r="I15" s="19"/>
      <c r="J15" s="19"/>
      <c r="K15" s="19"/>
      <c r="L15" s="19"/>
      <c r="M15" s="19"/>
      <c r="N15" s="19"/>
      <c r="O15" s="19"/>
      <c r="P15" s="19"/>
      <c r="Q15" s="136"/>
      <c r="S15" s="43"/>
      <c r="T15" s="43"/>
      <c r="U15" s="43"/>
      <c r="V15" s="43"/>
    </row>
    <row r="16" spans="2:26" s="9" customFormat="1" ht="15.6" customHeight="1" x14ac:dyDescent="0.3">
      <c r="B16" s="159"/>
      <c r="C16" s="9" t="s">
        <v>152</v>
      </c>
      <c r="E16" s="160"/>
      <c r="G16" s="161">
        <f>135000000*F7</f>
        <v>114750000</v>
      </c>
      <c r="H16" s="162">
        <f t="shared" ref="H16:K17" si="1">G16</f>
        <v>114750000</v>
      </c>
      <c r="I16" s="162">
        <f t="shared" si="1"/>
        <v>114750000</v>
      </c>
      <c r="J16" s="162">
        <f t="shared" si="1"/>
        <v>114750000</v>
      </c>
      <c r="K16" s="162">
        <f t="shared" si="1"/>
        <v>114750000</v>
      </c>
      <c r="L16" s="162"/>
      <c r="M16" s="162"/>
      <c r="N16" s="162"/>
      <c r="O16" s="162"/>
      <c r="P16" s="162"/>
      <c r="Q16" s="163">
        <f t="shared" ref="Q16:Q17" si="2">SUM(G16:P16)</f>
        <v>573750000</v>
      </c>
      <c r="R16" s="164"/>
      <c r="S16" s="165">
        <f>135000000*15%</f>
        <v>20250000</v>
      </c>
      <c r="T16" s="165"/>
      <c r="U16" s="165"/>
      <c r="V16" s="165"/>
    </row>
    <row r="17" spans="2:24" x14ac:dyDescent="0.3">
      <c r="B17" s="1"/>
      <c r="C17" t="s">
        <v>153</v>
      </c>
      <c r="E17" s="17"/>
      <c r="G17" s="129">
        <f>(18000000*12)*F7</f>
        <v>183600000</v>
      </c>
      <c r="H17" s="129">
        <f t="shared" si="1"/>
        <v>183600000</v>
      </c>
      <c r="I17" s="129">
        <f t="shared" si="1"/>
        <v>183600000</v>
      </c>
      <c r="J17" s="129">
        <f t="shared" si="1"/>
        <v>183600000</v>
      </c>
      <c r="K17" s="129">
        <f t="shared" si="1"/>
        <v>183600000</v>
      </c>
      <c r="L17" s="129"/>
      <c r="M17" s="129"/>
      <c r="N17" s="129"/>
      <c r="O17" s="129"/>
      <c r="P17" s="129"/>
      <c r="Q17" s="137">
        <f t="shared" si="2"/>
        <v>918000000</v>
      </c>
      <c r="S17" s="47">
        <f>(180000000*12)*15%</f>
        <v>324000000</v>
      </c>
      <c r="T17" s="47"/>
      <c r="U17" s="47"/>
      <c r="V17" s="47"/>
    </row>
    <row r="18" spans="2:24" x14ac:dyDescent="0.3">
      <c r="B18" s="63" t="s">
        <v>124</v>
      </c>
      <c r="C18" s="174" t="s">
        <v>154</v>
      </c>
      <c r="D18" s="63"/>
      <c r="E18" s="235"/>
      <c r="F18" s="236"/>
      <c r="G18" s="64">
        <f t="shared" ref="G18:Q18" si="3">SUM(G16:G17)</f>
        <v>298350000</v>
      </c>
      <c r="H18" s="64">
        <f t="shared" si="3"/>
        <v>298350000</v>
      </c>
      <c r="I18" s="64">
        <f t="shared" si="3"/>
        <v>298350000</v>
      </c>
      <c r="J18" s="64">
        <f t="shared" si="3"/>
        <v>298350000</v>
      </c>
      <c r="K18" s="64">
        <f t="shared" si="3"/>
        <v>298350000</v>
      </c>
      <c r="L18" s="64">
        <f t="shared" si="3"/>
        <v>0</v>
      </c>
      <c r="M18" s="64">
        <f t="shared" si="3"/>
        <v>0</v>
      </c>
      <c r="N18" s="64">
        <f t="shared" si="3"/>
        <v>0</v>
      </c>
      <c r="O18" s="64">
        <f t="shared" si="3"/>
        <v>0</v>
      </c>
      <c r="P18" s="64">
        <f t="shared" si="3"/>
        <v>0</v>
      </c>
      <c r="Q18" s="138">
        <f t="shared" si="3"/>
        <v>1491750000</v>
      </c>
      <c r="R18" s="43"/>
      <c r="S18" s="48"/>
      <c r="T18" s="48"/>
      <c r="U18" s="48"/>
      <c r="V18" s="48"/>
      <c r="W18" s="43"/>
      <c r="X18" s="45"/>
    </row>
    <row r="19" spans="2:24" x14ac:dyDescent="0.3">
      <c r="B19" s="1" t="s">
        <v>14</v>
      </c>
      <c r="E19" s="17"/>
      <c r="F19" s="17"/>
      <c r="G19" s="18"/>
      <c r="H19" s="17"/>
      <c r="I19" s="19"/>
      <c r="J19" s="19"/>
      <c r="K19" s="19"/>
      <c r="L19" s="19"/>
      <c r="M19" s="19"/>
      <c r="N19" s="19"/>
      <c r="O19" s="19"/>
      <c r="P19" s="19"/>
      <c r="Q19" s="139"/>
      <c r="R19" s="46"/>
      <c r="S19" s="50"/>
      <c r="T19" s="50"/>
      <c r="U19" s="50"/>
      <c r="V19" s="50"/>
      <c r="W19" s="45"/>
      <c r="X19" s="45"/>
    </row>
    <row r="20" spans="2:24" x14ac:dyDescent="0.3">
      <c r="C20" t="s">
        <v>125</v>
      </c>
      <c r="E20" s="130"/>
      <c r="G20" s="13">
        <v>0</v>
      </c>
      <c r="H20" s="13">
        <f>G20</f>
        <v>0</v>
      </c>
      <c r="I20" s="13">
        <f>H20</f>
        <v>0</v>
      </c>
      <c r="J20" s="13">
        <f>I20</f>
        <v>0</v>
      </c>
      <c r="K20" s="13">
        <f>J20</f>
        <v>0</v>
      </c>
      <c r="L20" s="13"/>
      <c r="M20" s="13"/>
      <c r="N20" s="13"/>
      <c r="O20" s="13"/>
      <c r="P20" s="13"/>
      <c r="Q20" s="137">
        <f>SUM(G20:P20)</f>
        <v>0</v>
      </c>
      <c r="R20" s="43" t="s">
        <v>49</v>
      </c>
      <c r="S20" s="43"/>
      <c r="T20" s="43"/>
      <c r="U20" s="43"/>
      <c r="V20" s="43"/>
      <c r="W20" s="44"/>
      <c r="X20" s="45"/>
    </row>
    <row r="21" spans="2:24" x14ac:dyDescent="0.3">
      <c r="C21" t="s">
        <v>15</v>
      </c>
      <c r="F21" s="96"/>
      <c r="G21" s="13">
        <v>0</v>
      </c>
      <c r="H21" s="13"/>
      <c r="I21" s="13"/>
      <c r="J21" s="13"/>
      <c r="K21" s="13"/>
      <c r="L21" s="13"/>
      <c r="M21" s="13"/>
      <c r="N21" s="13"/>
      <c r="O21" s="13"/>
      <c r="P21" s="13"/>
      <c r="Q21" s="137">
        <f t="shared" ref="Q21:Q23" si="4">SUM(G21:P21)</f>
        <v>0</v>
      </c>
      <c r="R21" s="43"/>
      <c r="S21" s="51"/>
      <c r="T21" s="51"/>
      <c r="U21" s="51"/>
      <c r="V21" s="51"/>
      <c r="W21" s="44"/>
      <c r="X21" s="45"/>
    </row>
    <row r="22" spans="2:24" x14ac:dyDescent="0.3">
      <c r="C22" t="s">
        <v>41</v>
      </c>
      <c r="G22" s="92">
        <v>7000000</v>
      </c>
      <c r="H22" s="92">
        <v>7000000</v>
      </c>
      <c r="I22" s="92">
        <v>7000000</v>
      </c>
      <c r="J22" s="92">
        <v>7000000</v>
      </c>
      <c r="K22" s="92">
        <v>7000000</v>
      </c>
      <c r="L22" s="92"/>
      <c r="M22" s="92"/>
      <c r="N22" s="92"/>
      <c r="O22" s="92"/>
      <c r="P22" s="92"/>
      <c r="Q22" s="137">
        <f>SUM(G22:P22)</f>
        <v>35000000</v>
      </c>
      <c r="R22" s="43"/>
      <c r="S22" s="51"/>
      <c r="T22" s="51"/>
      <c r="U22" s="51"/>
      <c r="V22" s="51"/>
      <c r="W22" s="44"/>
      <c r="X22" s="45"/>
    </row>
    <row r="23" spans="2:24" x14ac:dyDescent="0.3">
      <c r="B23" s="15"/>
      <c r="C23" s="15" t="s">
        <v>2</v>
      </c>
      <c r="D23" s="15"/>
      <c r="E23" s="15"/>
      <c r="F23" s="15"/>
      <c r="G23" s="20">
        <f>G18*$F$4</f>
        <v>14917500</v>
      </c>
      <c r="H23" s="20">
        <f>H18*$F$4</f>
        <v>14917500</v>
      </c>
      <c r="I23" s="20">
        <f t="shared" ref="I23:K23" si="5">I18*$F$4</f>
        <v>14917500</v>
      </c>
      <c r="J23" s="20">
        <f t="shared" si="5"/>
        <v>14917500</v>
      </c>
      <c r="K23" s="20">
        <f t="shared" si="5"/>
        <v>14917500</v>
      </c>
      <c r="L23" s="20"/>
      <c r="M23" s="20"/>
      <c r="N23" s="20"/>
      <c r="O23" s="20"/>
      <c r="P23" s="20"/>
      <c r="Q23" s="137">
        <f t="shared" si="4"/>
        <v>74587500</v>
      </c>
      <c r="R23" s="47"/>
      <c r="S23" s="51"/>
      <c r="T23" s="51"/>
      <c r="U23" s="51"/>
      <c r="V23" s="51"/>
      <c r="W23" s="44"/>
      <c r="X23" s="45"/>
    </row>
    <row r="24" spans="2:24" s="1" customFormat="1" x14ac:dyDescent="0.3">
      <c r="B24" s="63" t="s">
        <v>16</v>
      </c>
      <c r="C24" s="63"/>
      <c r="D24" s="63"/>
      <c r="E24" s="63"/>
      <c r="F24" s="63"/>
      <c r="G24" s="64">
        <f t="shared" ref="G24:Q24" si="6">SUM(G20:G23)</f>
        <v>21917500</v>
      </c>
      <c r="H24" s="64">
        <f t="shared" si="6"/>
        <v>21917500</v>
      </c>
      <c r="I24" s="64">
        <f t="shared" si="6"/>
        <v>21917500</v>
      </c>
      <c r="J24" s="64">
        <f t="shared" si="6"/>
        <v>21917500</v>
      </c>
      <c r="K24" s="64">
        <f t="shared" si="6"/>
        <v>21917500</v>
      </c>
      <c r="L24" s="64">
        <f t="shared" si="6"/>
        <v>0</v>
      </c>
      <c r="M24" s="64">
        <f t="shared" si="6"/>
        <v>0</v>
      </c>
      <c r="N24" s="64">
        <f t="shared" si="6"/>
        <v>0</v>
      </c>
      <c r="O24" s="64">
        <f t="shared" si="6"/>
        <v>0</v>
      </c>
      <c r="P24" s="64">
        <f t="shared" si="6"/>
        <v>0</v>
      </c>
      <c r="Q24" s="138">
        <f t="shared" si="6"/>
        <v>109587500</v>
      </c>
      <c r="R24" s="48"/>
      <c r="S24" s="53"/>
      <c r="T24" s="53"/>
      <c r="U24" s="53"/>
      <c r="V24" s="53"/>
      <c r="W24" s="48"/>
      <c r="X24" s="49"/>
    </row>
    <row r="25" spans="2:24" s="1" customFormat="1" x14ac:dyDescent="0.3">
      <c r="B25" s="1" t="s">
        <v>17</v>
      </c>
      <c r="G25" s="168">
        <f t="shared" ref="G25:Q25" si="7">G18-G24</f>
        <v>276432500</v>
      </c>
      <c r="H25" s="21">
        <f t="shared" si="7"/>
        <v>276432500</v>
      </c>
      <c r="I25" s="21">
        <f t="shared" si="7"/>
        <v>276432500</v>
      </c>
      <c r="J25" s="21">
        <f t="shared" si="7"/>
        <v>276432500</v>
      </c>
      <c r="K25" s="21">
        <f t="shared" si="7"/>
        <v>276432500</v>
      </c>
      <c r="L25" s="21">
        <f t="shared" si="7"/>
        <v>0</v>
      </c>
      <c r="M25" s="21">
        <f t="shared" si="7"/>
        <v>0</v>
      </c>
      <c r="N25" s="21">
        <f t="shared" si="7"/>
        <v>0</v>
      </c>
      <c r="O25" s="21">
        <f t="shared" si="7"/>
        <v>0</v>
      </c>
      <c r="P25" s="21">
        <f t="shared" si="7"/>
        <v>0</v>
      </c>
      <c r="Q25" s="140">
        <f t="shared" si="7"/>
        <v>1382162500</v>
      </c>
      <c r="R25" s="48"/>
      <c r="S25" s="51"/>
      <c r="T25" s="51"/>
      <c r="U25" s="51"/>
      <c r="V25" s="51"/>
      <c r="W25" s="48"/>
      <c r="X25" s="49"/>
    </row>
    <row r="26" spans="2:24" s="1" customFormat="1" x14ac:dyDescent="0.3">
      <c r="B26" s="22" t="s">
        <v>18</v>
      </c>
      <c r="C26" s="23"/>
      <c r="D26" s="23"/>
      <c r="E26" s="23"/>
      <c r="F26" s="23"/>
      <c r="G26" s="24">
        <v>0</v>
      </c>
      <c r="H26" s="24">
        <f t="shared" ref="H26:Q26" si="8">H25/H18</f>
        <v>0.92653762359644709</v>
      </c>
      <c r="I26" s="24">
        <f t="shared" si="8"/>
        <v>0.92653762359644709</v>
      </c>
      <c r="J26" s="24">
        <f t="shared" si="8"/>
        <v>0.92653762359644709</v>
      </c>
      <c r="K26" s="24">
        <f t="shared" si="8"/>
        <v>0.92653762359644709</v>
      </c>
      <c r="L26" s="24" t="e">
        <f t="shared" si="8"/>
        <v>#DIV/0!</v>
      </c>
      <c r="M26" s="24" t="e">
        <f t="shared" si="8"/>
        <v>#DIV/0!</v>
      </c>
      <c r="N26" s="24" t="e">
        <f t="shared" si="8"/>
        <v>#DIV/0!</v>
      </c>
      <c r="O26" s="24" t="e">
        <f t="shared" si="8"/>
        <v>#DIV/0!</v>
      </c>
      <c r="P26" s="24" t="e">
        <f t="shared" si="8"/>
        <v>#DIV/0!</v>
      </c>
      <c r="Q26" s="141">
        <f t="shared" si="8"/>
        <v>0.92653762359644709</v>
      </c>
      <c r="R26" s="50"/>
      <c r="S26" s="45"/>
      <c r="T26" s="45"/>
      <c r="U26" s="45"/>
      <c r="V26" s="45"/>
      <c r="W26" s="50"/>
      <c r="X26" s="49"/>
    </row>
    <row r="27" spans="2:24" x14ac:dyDescent="0.3">
      <c r="B27" s="15" t="s">
        <v>19</v>
      </c>
      <c r="C27" s="15"/>
      <c r="D27" s="15"/>
      <c r="E27" s="15"/>
      <c r="F27" s="15"/>
      <c r="G27" s="16" t="e">
        <f t="shared" ref="G27:K27" si="9">G46</f>
        <v>#REF!</v>
      </c>
      <c r="H27" s="16" t="e">
        <f t="shared" si="9"/>
        <v>#REF!</v>
      </c>
      <c r="I27" s="16" t="e">
        <f t="shared" si="9"/>
        <v>#REF!</v>
      </c>
      <c r="J27" s="16" t="e">
        <f t="shared" si="9"/>
        <v>#REF!</v>
      </c>
      <c r="K27" s="16" t="e">
        <f t="shared" si="9"/>
        <v>#REF!</v>
      </c>
      <c r="L27" s="16"/>
      <c r="M27" s="16"/>
      <c r="N27" s="16"/>
      <c r="O27" s="16"/>
      <c r="P27" s="16"/>
      <c r="Q27" s="142" t="e">
        <f>SUM(G27:L27)</f>
        <v>#REF!</v>
      </c>
      <c r="R27" s="43"/>
      <c r="S27" s="52"/>
      <c r="T27" s="52"/>
      <c r="U27" s="52"/>
      <c r="V27" s="52"/>
      <c r="W27" s="43"/>
      <c r="X27" s="45"/>
    </row>
    <row r="28" spans="2:24" x14ac:dyDescent="0.3">
      <c r="B28" s="25" t="s">
        <v>20</v>
      </c>
      <c r="G28" s="26" t="e">
        <f t="shared" ref="G28:P28" si="10">G25-G27</f>
        <v>#REF!</v>
      </c>
      <c r="H28" s="26" t="e">
        <f>H25-H27</f>
        <v>#REF!</v>
      </c>
      <c r="I28" s="26" t="e">
        <f t="shared" si="10"/>
        <v>#REF!</v>
      </c>
      <c r="J28" s="26" t="e">
        <f t="shared" si="10"/>
        <v>#REF!</v>
      </c>
      <c r="K28" s="26" t="e">
        <f t="shared" si="10"/>
        <v>#REF!</v>
      </c>
      <c r="L28" s="26">
        <f t="shared" si="10"/>
        <v>0</v>
      </c>
      <c r="M28" s="26">
        <f t="shared" si="10"/>
        <v>0</v>
      </c>
      <c r="N28" s="26">
        <f t="shared" si="10"/>
        <v>0</v>
      </c>
      <c r="O28" s="26">
        <f t="shared" si="10"/>
        <v>0</v>
      </c>
      <c r="P28" s="26">
        <f t="shared" si="10"/>
        <v>0</v>
      </c>
      <c r="Q28" s="143" t="e">
        <f>Q25-Q27</f>
        <v>#REF!</v>
      </c>
      <c r="R28" s="51"/>
      <c r="S28" s="52"/>
      <c r="T28" s="52"/>
      <c r="U28" s="52"/>
      <c r="V28" s="52"/>
      <c r="W28" s="51"/>
      <c r="X28" s="45"/>
    </row>
    <row r="29" spans="2:24" x14ac:dyDescent="0.3">
      <c r="B29" s="25" t="s">
        <v>33</v>
      </c>
      <c r="G29" s="67"/>
      <c r="H29" s="67"/>
      <c r="I29" s="67"/>
      <c r="J29" s="67"/>
      <c r="K29" s="67"/>
      <c r="L29" s="67"/>
      <c r="M29" s="67"/>
      <c r="N29" s="67"/>
      <c r="O29" s="148"/>
      <c r="P29" s="148">
        <f>PARAMETER!K4</f>
        <v>0</v>
      </c>
      <c r="Q29" s="137">
        <f t="shared" ref="Q29" si="11">SUM(G29:P29)</f>
        <v>0</v>
      </c>
      <c r="R29" s="51"/>
      <c r="S29" s="52"/>
      <c r="T29" s="52"/>
      <c r="U29" s="52"/>
      <c r="V29" s="52"/>
      <c r="W29" s="51"/>
      <c r="X29" s="45"/>
    </row>
    <row r="30" spans="2:24" x14ac:dyDescent="0.3">
      <c r="B30" s="25" t="s">
        <v>34</v>
      </c>
      <c r="G30" s="67" t="e">
        <f t="shared" ref="G30:P30" si="12">G28-G29</f>
        <v>#REF!</v>
      </c>
      <c r="H30" s="67" t="e">
        <f>H28-H29</f>
        <v>#REF!</v>
      </c>
      <c r="I30" s="67" t="e">
        <f t="shared" si="12"/>
        <v>#REF!</v>
      </c>
      <c r="J30" s="67" t="e">
        <f t="shared" si="12"/>
        <v>#REF!</v>
      </c>
      <c r="K30" s="67" t="e">
        <f t="shared" si="12"/>
        <v>#REF!</v>
      </c>
      <c r="L30" s="67">
        <f t="shared" si="12"/>
        <v>0</v>
      </c>
      <c r="M30" s="67">
        <f t="shared" si="12"/>
        <v>0</v>
      </c>
      <c r="N30" s="67">
        <f t="shared" si="12"/>
        <v>0</v>
      </c>
      <c r="O30" s="67">
        <f t="shared" si="12"/>
        <v>0</v>
      </c>
      <c r="P30" s="67">
        <f t="shared" si="12"/>
        <v>0</v>
      </c>
      <c r="Q30" s="137" t="e">
        <f>SUM(G30:P30)</f>
        <v>#REF!</v>
      </c>
      <c r="R30" s="51"/>
      <c r="S30" s="31"/>
      <c r="T30" s="31"/>
      <c r="U30" s="31"/>
      <c r="V30" s="31"/>
      <c r="W30" s="51"/>
      <c r="X30" s="45"/>
    </row>
    <row r="31" spans="2:24" x14ac:dyDescent="0.3">
      <c r="B31" s="15" t="s">
        <v>21</v>
      </c>
      <c r="C31" s="15"/>
      <c r="D31" s="15"/>
      <c r="E31" s="15"/>
      <c r="F31" s="15"/>
      <c r="G31" s="65" t="e">
        <f>IF(G30&lt;0,0,G30*$F$2)</f>
        <v>#REF!</v>
      </c>
      <c r="H31" s="65" t="e">
        <f t="shared" ref="H31:P31" si="13">IF(H30&lt;0,0,H30*$F$2)</f>
        <v>#REF!</v>
      </c>
      <c r="I31" s="65" t="e">
        <f t="shared" si="13"/>
        <v>#REF!</v>
      </c>
      <c r="J31" s="65" t="e">
        <f t="shared" si="13"/>
        <v>#REF!</v>
      </c>
      <c r="K31" s="65" t="e">
        <f t="shared" si="13"/>
        <v>#REF!</v>
      </c>
      <c r="L31" s="65">
        <f t="shared" si="13"/>
        <v>0</v>
      </c>
      <c r="M31" s="65">
        <f t="shared" si="13"/>
        <v>0</v>
      </c>
      <c r="N31" s="65">
        <f t="shared" si="13"/>
        <v>0</v>
      </c>
      <c r="O31" s="65">
        <f t="shared" si="13"/>
        <v>0</v>
      </c>
      <c r="P31" s="65">
        <f t="shared" si="13"/>
        <v>0</v>
      </c>
      <c r="Q31" s="137" t="e">
        <f>SUM(G31:P31)</f>
        <v>#REF!</v>
      </c>
      <c r="R31" s="53"/>
      <c r="W31" s="52"/>
      <c r="X31" s="45"/>
    </row>
    <row r="32" spans="2:24" ht="16.2" thickBot="1" x14ac:dyDescent="0.35">
      <c r="B32" s="28" t="s">
        <v>48</v>
      </c>
      <c r="C32" s="28"/>
      <c r="D32" s="28"/>
      <c r="E32" s="28"/>
      <c r="F32" s="28"/>
      <c r="G32" s="29" t="e">
        <f>G30-G31</f>
        <v>#REF!</v>
      </c>
      <c r="H32" s="29" t="e">
        <f>H30-H31</f>
        <v>#REF!</v>
      </c>
      <c r="I32" s="29" t="e">
        <f t="shared" ref="I32:O32" si="14">I30-I31</f>
        <v>#REF!</v>
      </c>
      <c r="J32" s="29" t="e">
        <f t="shared" si="14"/>
        <v>#REF!</v>
      </c>
      <c r="K32" s="29" t="e">
        <f t="shared" si="14"/>
        <v>#REF!</v>
      </c>
      <c r="L32" s="29">
        <f t="shared" si="14"/>
        <v>0</v>
      </c>
      <c r="M32" s="29">
        <f t="shared" si="14"/>
        <v>0</v>
      </c>
      <c r="N32" s="29">
        <f t="shared" si="14"/>
        <v>0</v>
      </c>
      <c r="O32" s="29">
        <f t="shared" si="14"/>
        <v>0</v>
      </c>
      <c r="P32" s="29">
        <f>P30-P31</f>
        <v>0</v>
      </c>
      <c r="Q32" s="29" t="e">
        <f>Q30-Q31</f>
        <v>#REF!</v>
      </c>
      <c r="R32" s="51"/>
      <c r="W32" s="51"/>
      <c r="X32" s="45"/>
    </row>
    <row r="33" spans="2:26" x14ac:dyDescent="0.3">
      <c r="R33" s="45"/>
      <c r="W33" s="45"/>
      <c r="X33" s="45"/>
    </row>
    <row r="34" spans="2:26" x14ac:dyDescent="0.3">
      <c r="B34" s="15" t="s">
        <v>22</v>
      </c>
      <c r="C34" s="15"/>
      <c r="D34" s="15"/>
      <c r="E34" s="15"/>
      <c r="F34" s="30" t="e">
        <f>-G9+-G10</f>
        <v>#REF!</v>
      </c>
      <c r="G34" s="30"/>
      <c r="H34" s="30">
        <f>-H9+-H10</f>
        <v>0</v>
      </c>
      <c r="I34" s="30">
        <f>-I9+-I10</f>
        <v>0</v>
      </c>
      <c r="J34" s="30">
        <f>-K9+-K10</f>
        <v>0</v>
      </c>
      <c r="K34" s="30">
        <f>-L9+-L10</f>
        <v>0</v>
      </c>
      <c r="L34" s="30">
        <f>-R9+-R10</f>
        <v>0</v>
      </c>
      <c r="M34" s="30">
        <f>-S9+-S10</f>
        <v>0</v>
      </c>
      <c r="N34" s="30">
        <f>-T9+-T10</f>
        <v>0</v>
      </c>
      <c r="O34" s="30">
        <f>-U9+-U10</f>
        <v>0</v>
      </c>
      <c r="P34" s="30">
        <f>-V9+-V10</f>
        <v>0</v>
      </c>
      <c r="Q34" s="30" t="e">
        <f>SUM(F34:P34)</f>
        <v>#REF!</v>
      </c>
      <c r="R34" s="52"/>
      <c r="W34" s="52"/>
      <c r="X34" s="45"/>
    </row>
    <row r="35" spans="2:26" x14ac:dyDescent="0.3">
      <c r="B35" t="s">
        <v>23</v>
      </c>
      <c r="F35" s="27" t="e">
        <f>F34</f>
        <v>#REF!</v>
      </c>
      <c r="G35" s="27" t="e">
        <f>G34+G32+G27</f>
        <v>#REF!</v>
      </c>
      <c r="H35" s="27" t="e">
        <f>H34+H32+H27</f>
        <v>#REF!</v>
      </c>
      <c r="I35" s="27" t="e">
        <f t="shared" ref="I35:O35" si="15">I34+I32+I27</f>
        <v>#REF!</v>
      </c>
      <c r="J35" s="27" t="e">
        <f t="shared" si="15"/>
        <v>#REF!</v>
      </c>
      <c r="K35" s="27" t="e">
        <f t="shared" si="15"/>
        <v>#REF!</v>
      </c>
      <c r="L35" s="27">
        <f t="shared" si="15"/>
        <v>0</v>
      </c>
      <c r="M35" s="27">
        <f t="shared" si="15"/>
        <v>0</v>
      </c>
      <c r="N35" s="27">
        <f t="shared" si="15"/>
        <v>0</v>
      </c>
      <c r="O35" s="27">
        <f t="shared" si="15"/>
        <v>0</v>
      </c>
      <c r="P35" s="27">
        <f>P34+P32+P27</f>
        <v>0</v>
      </c>
      <c r="Q35" s="30" t="e">
        <f>SUM(F35:P35)</f>
        <v>#REF!</v>
      </c>
      <c r="R35" s="52"/>
      <c r="S35" s="32"/>
      <c r="T35" s="9"/>
      <c r="U35" s="32"/>
      <c r="V35" s="9"/>
      <c r="W35" s="52"/>
      <c r="X35" s="45"/>
    </row>
    <row r="36" spans="2:26" x14ac:dyDescent="0.3">
      <c r="B36" t="s">
        <v>24</v>
      </c>
      <c r="F36" s="27" t="e">
        <f>F35</f>
        <v>#REF!</v>
      </c>
      <c r="G36" s="27" t="e">
        <f>F36+G35</f>
        <v>#REF!</v>
      </c>
      <c r="H36" s="27" t="e">
        <f t="shared" ref="H36:K36" si="16">G36+H35</f>
        <v>#REF!</v>
      </c>
      <c r="I36" s="27" t="e">
        <f t="shared" si="16"/>
        <v>#REF!</v>
      </c>
      <c r="J36" s="27" t="e">
        <f t="shared" si="16"/>
        <v>#REF!</v>
      </c>
      <c r="K36" s="27" t="e">
        <f t="shared" si="16"/>
        <v>#REF!</v>
      </c>
      <c r="L36" s="27"/>
      <c r="M36" s="27"/>
      <c r="N36" s="27"/>
      <c r="O36" s="27"/>
      <c r="P36" s="27"/>
      <c r="Q36" s="27"/>
      <c r="R36" s="52"/>
      <c r="S36" s="34"/>
      <c r="T36" s="34"/>
      <c r="U36" s="34"/>
      <c r="V36" s="34"/>
      <c r="W36" s="52"/>
      <c r="X36" s="45"/>
    </row>
    <row r="37" spans="2:26" x14ac:dyDescent="0.3">
      <c r="B37" t="s">
        <v>25</v>
      </c>
      <c r="F37" s="27"/>
      <c r="G37" s="155" t="e">
        <f>IF(AND(F36&lt;0,G36&gt;0),G42-(G36/G35),0)</f>
        <v>#REF!</v>
      </c>
      <c r="H37" s="155" t="e">
        <f t="shared" ref="H37:M37" si="17">IF(AND(G36&lt;0,H36&gt;0),H42-(H36/H35),0)</f>
        <v>#REF!</v>
      </c>
      <c r="I37" s="155" t="e">
        <f t="shared" si="17"/>
        <v>#REF!</v>
      </c>
      <c r="J37" s="155" t="e">
        <f t="shared" si="17"/>
        <v>#REF!</v>
      </c>
      <c r="K37" s="155" t="e">
        <f t="shared" si="17"/>
        <v>#REF!</v>
      </c>
      <c r="L37" s="155" t="e">
        <f t="shared" si="17"/>
        <v>#REF!</v>
      </c>
      <c r="M37" s="155">
        <f t="shared" si="17"/>
        <v>0</v>
      </c>
      <c r="N37" s="155">
        <f>IF(AND(M36&lt;0,N36&gt;0),N42-(N36/N35),0)</f>
        <v>0</v>
      </c>
      <c r="O37" s="155">
        <f t="shared" ref="O37:P37" si="18">IF(AND(O36&lt;0,P36&gt;0),N42-(N36/N35),0)</f>
        <v>0</v>
      </c>
      <c r="P37" s="155">
        <f t="shared" si="18"/>
        <v>0</v>
      </c>
      <c r="Q37" s="31"/>
      <c r="R37" s="31"/>
      <c r="S37" s="35"/>
      <c r="T37" s="35"/>
      <c r="U37" s="35"/>
      <c r="V37" s="35"/>
      <c r="W37" s="31"/>
    </row>
    <row r="38" spans="2:26" x14ac:dyDescent="0.3">
      <c r="B38" s="55" t="s">
        <v>26</v>
      </c>
      <c r="C38" s="56"/>
      <c r="D38" s="56"/>
      <c r="E38" s="56"/>
      <c r="F38" s="76" t="e">
        <f>IRR(F35:P35)</f>
        <v>#VALUE!</v>
      </c>
      <c r="S38" s="35"/>
      <c r="T38" s="35"/>
      <c r="U38" s="35"/>
      <c r="V38" s="35"/>
    </row>
    <row r="39" spans="2:26" x14ac:dyDescent="0.3">
      <c r="B39" s="57" t="s">
        <v>27</v>
      </c>
      <c r="C39" s="58"/>
      <c r="D39" s="58"/>
      <c r="E39" s="58"/>
      <c r="F39" s="59" t="e">
        <f>NPV(F3,G35:H35)+F35</f>
        <v>#REF!</v>
      </c>
      <c r="G39" s="66"/>
      <c r="H39" s="75"/>
      <c r="I39" s="14"/>
      <c r="S39" s="35"/>
      <c r="T39" s="35"/>
      <c r="U39" s="35"/>
      <c r="V39" s="35"/>
    </row>
    <row r="40" spans="2:26" x14ac:dyDescent="0.3">
      <c r="B40" s="57" t="s">
        <v>28</v>
      </c>
      <c r="C40" s="58"/>
      <c r="D40" s="58"/>
      <c r="E40" s="58"/>
      <c r="F40" s="60">
        <f>Q26</f>
        <v>0.92653762359644709</v>
      </c>
      <c r="H40" s="66"/>
      <c r="S40" s="35"/>
      <c r="T40" s="35"/>
      <c r="U40" s="35"/>
      <c r="V40" s="35"/>
    </row>
    <row r="41" spans="2:26" x14ac:dyDescent="0.3">
      <c r="B41" s="61" t="s">
        <v>29</v>
      </c>
      <c r="C41" s="62"/>
      <c r="D41" s="62"/>
      <c r="E41" s="62"/>
      <c r="F41" s="166" t="e">
        <f>SUM(F37:P37)</f>
        <v>#REF!</v>
      </c>
      <c r="S41" s="35"/>
      <c r="T41" s="35"/>
      <c r="U41" s="35"/>
      <c r="V41" s="35"/>
    </row>
    <row r="42" spans="2:26" x14ac:dyDescent="0.3">
      <c r="G42" s="9">
        <v>1</v>
      </c>
      <c r="H42" s="32">
        <f>G42+1</f>
        <v>2</v>
      </c>
      <c r="I42" s="32">
        <f t="shared" ref="I42:P42" si="19">H42+1</f>
        <v>3</v>
      </c>
      <c r="J42" s="32">
        <f t="shared" si="19"/>
        <v>4</v>
      </c>
      <c r="K42" s="32">
        <f t="shared" si="19"/>
        <v>5</v>
      </c>
      <c r="L42" s="32">
        <f t="shared" si="19"/>
        <v>6</v>
      </c>
      <c r="M42" s="32">
        <f t="shared" si="19"/>
        <v>7</v>
      </c>
      <c r="N42" s="32">
        <f t="shared" si="19"/>
        <v>8</v>
      </c>
      <c r="O42" s="32">
        <f t="shared" si="19"/>
        <v>9</v>
      </c>
      <c r="P42" s="32">
        <f t="shared" si="19"/>
        <v>10</v>
      </c>
      <c r="Q42" s="32"/>
      <c r="R42" s="9"/>
      <c r="S42" s="42"/>
      <c r="T42" s="42"/>
      <c r="U42" s="42"/>
      <c r="V42" s="42"/>
    </row>
    <row r="43" spans="2:26" ht="16.2" thickBot="1" x14ac:dyDescent="0.35">
      <c r="B43" s="33" t="s">
        <v>30</v>
      </c>
      <c r="E43" s="34" t="s">
        <v>31</v>
      </c>
      <c r="G43" s="34" t="str">
        <f t="shared" ref="G43:P43" si="20">G13</f>
        <v>Year 1</v>
      </c>
      <c r="H43" s="34" t="str">
        <f t="shared" si="20"/>
        <v>Year 2</v>
      </c>
      <c r="I43" s="34" t="str">
        <f t="shared" si="20"/>
        <v>Year 3</v>
      </c>
      <c r="J43" s="34" t="str">
        <f t="shared" si="20"/>
        <v>Year 4</v>
      </c>
      <c r="K43" s="34" t="str">
        <f t="shared" si="20"/>
        <v>Year 5</v>
      </c>
      <c r="L43" s="34" t="str">
        <f t="shared" si="20"/>
        <v>Year 6</v>
      </c>
      <c r="M43" s="34" t="str">
        <f t="shared" si="20"/>
        <v>Year 7</v>
      </c>
      <c r="N43" s="34" t="str">
        <f t="shared" si="20"/>
        <v>Year 8</v>
      </c>
      <c r="O43" s="34" t="str">
        <f t="shared" si="20"/>
        <v>Year 9</v>
      </c>
      <c r="P43" s="34" t="str">
        <f t="shared" si="20"/>
        <v>Year 10</v>
      </c>
      <c r="Q43" s="69" t="s">
        <v>12</v>
      </c>
      <c r="R43" s="34"/>
      <c r="W43" s="34"/>
    </row>
    <row r="44" spans="2:26" x14ac:dyDescent="0.3">
      <c r="D44" t="s">
        <v>6</v>
      </c>
      <c r="E44">
        <v>5</v>
      </c>
      <c r="G44" s="68" t="e">
        <f>SUM(G9:G10)/$E44</f>
        <v>#REF!</v>
      </c>
      <c r="H44" s="35" t="e">
        <f>G44</f>
        <v>#REF!</v>
      </c>
      <c r="I44" s="35" t="e">
        <f>H44</f>
        <v>#REF!</v>
      </c>
      <c r="J44" s="35" t="e">
        <f>I44</f>
        <v>#REF!</v>
      </c>
      <c r="K44" s="35" t="e">
        <f>J44</f>
        <v>#REF!</v>
      </c>
      <c r="L44" s="35"/>
      <c r="M44" s="35"/>
      <c r="N44" s="35"/>
      <c r="O44" s="35"/>
      <c r="P44" s="35"/>
      <c r="Q44" s="35" t="e">
        <f t="shared" ref="Q44:Q45" si="21">SUM(G44:P44)</f>
        <v>#REF!</v>
      </c>
      <c r="R44" s="35"/>
      <c r="W44" s="36"/>
    </row>
    <row r="45" spans="2:26" hidden="1" x14ac:dyDescent="0.3">
      <c r="D45" t="s">
        <v>7</v>
      </c>
      <c r="E45">
        <v>1</v>
      </c>
      <c r="H45" s="68">
        <f>SUM(H9:H10)/$E$45</f>
        <v>0</v>
      </c>
      <c r="I45" s="68">
        <f t="shared" ref="I45:P45" si="22">H45</f>
        <v>0</v>
      </c>
      <c r="J45" s="68">
        <f t="shared" si="22"/>
        <v>0</v>
      </c>
      <c r="K45" s="68">
        <f t="shared" si="22"/>
        <v>0</v>
      </c>
      <c r="L45" s="68">
        <f t="shared" si="22"/>
        <v>0</v>
      </c>
      <c r="M45" s="68">
        <f t="shared" si="22"/>
        <v>0</v>
      </c>
      <c r="N45" s="68">
        <f t="shared" si="22"/>
        <v>0</v>
      </c>
      <c r="O45" s="68">
        <f t="shared" si="22"/>
        <v>0</v>
      </c>
      <c r="P45" s="68">
        <f t="shared" si="22"/>
        <v>0</v>
      </c>
      <c r="Q45" s="68">
        <f t="shared" si="21"/>
        <v>0</v>
      </c>
      <c r="R45" s="35"/>
      <c r="W45" s="36"/>
    </row>
    <row r="46" spans="2:26" ht="16.2" thickBot="1" x14ac:dyDescent="0.35">
      <c r="B46" s="37" t="s">
        <v>32</v>
      </c>
      <c r="C46" s="38"/>
      <c r="D46" s="38"/>
      <c r="E46" s="38"/>
      <c r="F46" s="38"/>
      <c r="G46" s="39" t="e">
        <f t="shared" ref="G46:Q46" si="23">SUM(G44:G45)</f>
        <v>#REF!</v>
      </c>
      <c r="H46" s="39" t="e">
        <f t="shared" si="23"/>
        <v>#REF!</v>
      </c>
      <c r="I46" s="39" t="e">
        <f t="shared" si="23"/>
        <v>#REF!</v>
      </c>
      <c r="J46" s="39" t="e">
        <f t="shared" si="23"/>
        <v>#REF!</v>
      </c>
      <c r="K46" s="39" t="e">
        <f t="shared" si="23"/>
        <v>#REF!</v>
      </c>
      <c r="L46" s="39">
        <f t="shared" si="23"/>
        <v>0</v>
      </c>
      <c r="M46" s="39">
        <f t="shared" si="23"/>
        <v>0</v>
      </c>
      <c r="N46" s="39">
        <f t="shared" si="23"/>
        <v>0</v>
      </c>
      <c r="O46" s="39">
        <f t="shared" si="23"/>
        <v>0</v>
      </c>
      <c r="P46" s="39">
        <f t="shared" si="23"/>
        <v>0</v>
      </c>
      <c r="Q46" s="39" t="e">
        <f t="shared" si="23"/>
        <v>#REF!</v>
      </c>
      <c r="R46" s="42"/>
      <c r="W46" s="42"/>
      <c r="X46" s="40"/>
      <c r="Y46" s="40"/>
      <c r="Z46" s="40"/>
    </row>
    <row r="47" spans="2:26" ht="16.2" thickTop="1" x14ac:dyDescent="0.3">
      <c r="W47" s="14"/>
    </row>
    <row r="49" spans="6:6" x14ac:dyDescent="0.3">
      <c r="F49" t="s">
        <v>49</v>
      </c>
    </row>
  </sheetData>
  <mergeCells count="1">
    <mergeCell ref="E18:F18"/>
  </mergeCells>
  <pageMargins left="0.23622047244094491" right="0.23622047244094491" top="0.74803149606299213" bottom="0.74803149606299213" header="0.31496062992125984" footer="0.31496062992125984"/>
  <pageSetup paperSize="9" scale="1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T56"/>
  <sheetViews>
    <sheetView zoomScale="70" zoomScaleNormal="70" workbookViewId="0">
      <selection activeCell="E32" sqref="E32"/>
    </sheetView>
  </sheetViews>
  <sheetFormatPr defaultRowHeight="15.6" x14ac:dyDescent="0.3"/>
  <cols>
    <col min="1" max="1" width="13.5" bestFit="1" customWidth="1"/>
    <col min="2" max="2" width="15.796875" bestFit="1" customWidth="1"/>
    <col min="3" max="4" width="14.5" bestFit="1" customWidth="1"/>
    <col min="5" max="5" width="14.796875" customWidth="1"/>
    <col min="6" max="6" width="15" customWidth="1"/>
    <col min="7" max="7" width="13" bestFit="1" customWidth="1"/>
    <col min="8" max="8" width="16.59765625" customWidth="1"/>
    <col min="9" max="9" width="15.296875" customWidth="1"/>
    <col min="10" max="11" width="13.59765625" bestFit="1" customWidth="1"/>
    <col min="12" max="12" width="12.09765625" bestFit="1" customWidth="1"/>
    <col min="13" max="13" width="14" bestFit="1" customWidth="1"/>
    <col min="14" max="14" width="12.09765625" bestFit="1" customWidth="1"/>
    <col min="15" max="15" width="14.59765625" bestFit="1" customWidth="1"/>
    <col min="16" max="18" width="12.09765625" bestFit="1" customWidth="1"/>
    <col min="19" max="19" width="10.09765625" bestFit="1" customWidth="1"/>
  </cols>
  <sheetData>
    <row r="1" spans="1:20" x14ac:dyDescent="0.3">
      <c r="B1" s="9">
        <v>5</v>
      </c>
      <c r="C1" s="116">
        <v>2026</v>
      </c>
      <c r="D1" s="116">
        <f>C1+1</f>
        <v>2027</v>
      </c>
      <c r="E1" s="116">
        <f t="shared" ref="E1:M1" si="0">D1+1</f>
        <v>2028</v>
      </c>
      <c r="F1" s="116">
        <f t="shared" si="0"/>
        <v>2029</v>
      </c>
      <c r="G1" s="116">
        <f t="shared" si="0"/>
        <v>2030</v>
      </c>
      <c r="H1" s="116">
        <f t="shared" si="0"/>
        <v>2031</v>
      </c>
      <c r="I1" s="116">
        <f t="shared" si="0"/>
        <v>2032</v>
      </c>
      <c r="J1" s="116">
        <f t="shared" si="0"/>
        <v>2033</v>
      </c>
      <c r="K1" s="116">
        <f t="shared" si="0"/>
        <v>2034</v>
      </c>
      <c r="L1" s="116">
        <f t="shared" si="0"/>
        <v>2035</v>
      </c>
      <c r="M1" s="116">
        <f t="shared" si="0"/>
        <v>2036</v>
      </c>
    </row>
    <row r="2" spans="1:20" x14ac:dyDescent="0.3">
      <c r="A2" s="157" t="s">
        <v>181</v>
      </c>
      <c r="B2" t="s">
        <v>50</v>
      </c>
      <c r="C2" s="77">
        <v>1726670811.6800001</v>
      </c>
      <c r="D2" s="14">
        <f>C2-C3</f>
        <v>1381336649.3440001</v>
      </c>
      <c r="E2" s="14">
        <f>D2-C3</f>
        <v>1036002487.0080001</v>
      </c>
      <c r="F2" s="14">
        <f>E2-C3</f>
        <v>690668324.67200017</v>
      </c>
      <c r="G2" s="14">
        <f>F2-C3</f>
        <v>345334162.33600014</v>
      </c>
      <c r="H2" s="14">
        <f>G2-C3</f>
        <v>0</v>
      </c>
      <c r="I2" s="14">
        <f>H2-$E$3</f>
        <v>0</v>
      </c>
      <c r="J2" s="14">
        <f>I2-$E$3</f>
        <v>0</v>
      </c>
      <c r="K2" s="14"/>
      <c r="N2">
        <v>2013</v>
      </c>
      <c r="O2" s="77">
        <v>1726670811.6800001</v>
      </c>
      <c r="P2" s="14"/>
      <c r="Q2" s="14"/>
      <c r="R2" s="14"/>
      <c r="S2" s="14"/>
    </row>
    <row r="3" spans="1:20" x14ac:dyDescent="0.3">
      <c r="B3" t="s">
        <v>51</v>
      </c>
      <c r="C3" s="77">
        <f>C2/B1</f>
        <v>345334162.33600003</v>
      </c>
      <c r="D3" s="77"/>
      <c r="E3" s="77"/>
      <c r="N3">
        <v>2014</v>
      </c>
      <c r="O3" s="77">
        <v>422342499</v>
      </c>
    </row>
    <row r="4" spans="1:20" x14ac:dyDescent="0.3">
      <c r="B4" t="s">
        <v>52</v>
      </c>
      <c r="C4" s="77">
        <f>(($C$2*IRR!$F$4)*6)/12</f>
        <v>86333540.584000006</v>
      </c>
      <c r="D4" s="14">
        <f>AVERAGE(C2:D2)*IRR!$F$4</f>
        <v>155400373.0512</v>
      </c>
      <c r="E4" s="14">
        <f>AVERAGE(D2:E2)*IRR!$F$4</f>
        <v>120866956.81760001</v>
      </c>
      <c r="F4" s="14">
        <f>AVERAGE(E2:F2)*IRR!$F$4</f>
        <v>86333540.584000021</v>
      </c>
      <c r="G4" s="14">
        <f>AVERAGE(F2:G2)*IRR!$F$4</f>
        <v>51800124.350400023</v>
      </c>
      <c r="H4" s="14">
        <f>AVERAGE(G2:H2)*IRR!$F$4</f>
        <v>17266708.116800006</v>
      </c>
      <c r="I4" s="14">
        <f>AVERAGE($H$2:$I$2)*[3]IRR!$G$4</f>
        <v>0</v>
      </c>
      <c r="J4" s="14">
        <f>AVERAGE($I$2:$J$2)*[3]IRR!$G$4</f>
        <v>0</v>
      </c>
      <c r="K4" s="14"/>
      <c r="N4">
        <v>2016</v>
      </c>
      <c r="O4" s="77">
        <v>10773000</v>
      </c>
      <c r="P4" s="14"/>
      <c r="Q4" s="14"/>
      <c r="R4" s="14"/>
      <c r="S4" s="14"/>
      <c r="T4" s="14"/>
    </row>
    <row r="5" spans="1:20" x14ac:dyDescent="0.3">
      <c r="A5" s="157" t="s">
        <v>135</v>
      </c>
      <c r="B5" t="s">
        <v>50</v>
      </c>
      <c r="C5" s="77"/>
      <c r="D5" s="14">
        <v>422342499</v>
      </c>
      <c r="E5" s="14">
        <f>D5-D6</f>
        <v>337873999.19999999</v>
      </c>
      <c r="F5" s="14">
        <f>E5-D6</f>
        <v>253405499.39999998</v>
      </c>
      <c r="G5" s="14">
        <f>F5-D6</f>
        <v>168936999.59999996</v>
      </c>
      <c r="H5" s="14">
        <f>G5-D6</f>
        <v>84468499.799999967</v>
      </c>
      <c r="I5" s="14">
        <f>H5-D6</f>
        <v>0</v>
      </c>
      <c r="J5" s="14"/>
      <c r="K5" s="14"/>
      <c r="N5">
        <v>2017</v>
      </c>
      <c r="O5" s="77">
        <v>102210600</v>
      </c>
    </row>
    <row r="6" spans="1:20" x14ac:dyDescent="0.3">
      <c r="B6" t="s">
        <v>51</v>
      </c>
      <c r="C6" s="77"/>
      <c r="D6" s="14">
        <f>D5/B1</f>
        <v>84468499.799999997</v>
      </c>
      <c r="E6" s="14"/>
      <c r="F6" s="14"/>
      <c r="G6" s="14"/>
      <c r="H6" s="14"/>
      <c r="I6" s="14"/>
      <c r="J6" s="14"/>
      <c r="K6" s="14"/>
    </row>
    <row r="7" spans="1:20" x14ac:dyDescent="0.3">
      <c r="B7" t="s">
        <v>52</v>
      </c>
      <c r="C7" s="77"/>
      <c r="D7" s="77">
        <f>((D5*IRR!$F$4)*6)/12</f>
        <v>21117124.950000003</v>
      </c>
      <c r="E7" s="14">
        <f>AVERAGE(D5:E5)*IRR!$F$4</f>
        <v>38010824.910000004</v>
      </c>
      <c r="F7" s="14">
        <f>AVERAGE(E5:F5)*IRR!$F$4</f>
        <v>29563974.929999996</v>
      </c>
      <c r="G7" s="14">
        <f>AVERAGE(F5:G5)*IRR!$F$4</f>
        <v>21117124.949999999</v>
      </c>
      <c r="H7" s="14">
        <f>AVERAGE(G5:H5)*IRR!$F$4</f>
        <v>12670274.969999997</v>
      </c>
      <c r="I7" s="14">
        <f>AVERAGE(H5:I5)*IRR!$F$4</f>
        <v>4223424.9899999984</v>
      </c>
      <c r="J7" s="14"/>
      <c r="K7" s="14"/>
    </row>
    <row r="8" spans="1:20" x14ac:dyDescent="0.3">
      <c r="A8" s="157" t="s">
        <v>136</v>
      </c>
      <c r="B8" t="s">
        <v>50</v>
      </c>
      <c r="C8" s="77"/>
      <c r="D8" s="14"/>
      <c r="F8" s="14">
        <v>10773000</v>
      </c>
      <c r="G8" s="14">
        <f>F8-F9</f>
        <v>8618400</v>
      </c>
      <c r="H8" s="14">
        <f>G8-F9</f>
        <v>6463800</v>
      </c>
      <c r="I8" s="14">
        <f>H8-F9</f>
        <v>4309200</v>
      </c>
      <c r="J8" s="14">
        <f>I8-F9</f>
        <v>2154600</v>
      </c>
      <c r="K8" s="14">
        <f>J8-F9</f>
        <v>0</v>
      </c>
    </row>
    <row r="9" spans="1:20" x14ac:dyDescent="0.3">
      <c r="B9" t="s">
        <v>51</v>
      </c>
      <c r="C9" s="77"/>
      <c r="D9" s="14"/>
      <c r="F9" s="14">
        <f>F8/B1</f>
        <v>2154600</v>
      </c>
      <c r="G9" s="14"/>
      <c r="H9" s="14"/>
      <c r="I9" s="14"/>
      <c r="J9" s="14"/>
      <c r="K9" s="14"/>
    </row>
    <row r="10" spans="1:20" x14ac:dyDescent="0.3">
      <c r="B10" t="s">
        <v>52</v>
      </c>
      <c r="C10" s="77"/>
      <c r="D10" s="14"/>
      <c r="F10" s="77">
        <f>((F8*IRR!$F$4)*6)/12</f>
        <v>538650</v>
      </c>
      <c r="G10" s="14">
        <f>AVERAGE(F8:G8)*IRR!$F$4</f>
        <v>969570</v>
      </c>
      <c r="H10" s="14">
        <f>AVERAGE(G8:H8)*IRR!$F$4</f>
        <v>754110</v>
      </c>
      <c r="I10" s="14">
        <f>AVERAGE(H8:I8)*IRR!$F$4</f>
        <v>538650</v>
      </c>
      <c r="J10" s="14">
        <f>AVERAGE(I8:J8)*IRR!$F$4</f>
        <v>323190</v>
      </c>
      <c r="K10" s="14">
        <f>AVERAGE(J8:K8)*IRR!$F$4</f>
        <v>107730</v>
      </c>
    </row>
    <row r="11" spans="1:20" x14ac:dyDescent="0.3">
      <c r="A11" s="157" t="s">
        <v>137</v>
      </c>
      <c r="B11" t="s">
        <v>50</v>
      </c>
      <c r="C11" s="77"/>
      <c r="D11" s="14"/>
      <c r="E11" s="14"/>
      <c r="F11" s="14"/>
      <c r="G11" s="14">
        <v>102210600</v>
      </c>
      <c r="H11" s="14">
        <f>G11-G12</f>
        <v>81768480</v>
      </c>
      <c r="I11" s="14">
        <f>H11-G12</f>
        <v>61326360</v>
      </c>
      <c r="J11" s="14">
        <f>I11-G12</f>
        <v>40884240</v>
      </c>
      <c r="K11" s="14">
        <f>J11-G12</f>
        <v>20442120</v>
      </c>
      <c r="L11" s="14">
        <f>K11-G12</f>
        <v>0</v>
      </c>
    </row>
    <row r="12" spans="1:20" x14ac:dyDescent="0.3">
      <c r="B12" t="s">
        <v>51</v>
      </c>
      <c r="C12" s="77"/>
      <c r="D12" s="14"/>
      <c r="E12" s="14"/>
      <c r="F12" s="14"/>
      <c r="G12" s="14">
        <f>G11/B1</f>
        <v>20442120</v>
      </c>
      <c r="H12" s="14"/>
      <c r="I12" s="14"/>
      <c r="J12" s="14"/>
      <c r="K12" s="14"/>
      <c r="L12" s="14"/>
    </row>
    <row r="13" spans="1:20" x14ac:dyDescent="0.3">
      <c r="B13" t="s">
        <v>52</v>
      </c>
      <c r="C13" s="77"/>
      <c r="D13" s="14"/>
      <c r="E13" s="77"/>
      <c r="F13" s="14"/>
      <c r="G13" s="77">
        <f>((G11*IRR!$F$4)*6)/12</f>
        <v>5110530</v>
      </c>
      <c r="H13" s="14">
        <f>AVERAGE(G11:H11)*IRR!$F$4</f>
        <v>9198954</v>
      </c>
      <c r="I13" s="14">
        <f>AVERAGE(H11:I11)*IRR!$F$4</f>
        <v>7154742</v>
      </c>
      <c r="J13" s="14">
        <f>AVERAGE(I11:J11)*IRR!$F$4</f>
        <v>5110530</v>
      </c>
      <c r="K13" s="14">
        <f>AVERAGE(J11:K11)*IRR!$F$4</f>
        <v>3066318</v>
      </c>
      <c r="L13" s="14">
        <f>AVERAGE(K11:L11)*IRR!$F$4</f>
        <v>1022106</v>
      </c>
    </row>
    <row r="14" spans="1:20" x14ac:dyDescent="0.3">
      <c r="C14" s="77"/>
      <c r="D14" s="14"/>
      <c r="E14" s="14"/>
      <c r="F14" s="14"/>
      <c r="G14" s="14"/>
      <c r="H14" s="14"/>
      <c r="I14" s="14"/>
      <c r="J14" s="14"/>
      <c r="K14" s="14"/>
    </row>
    <row r="15" spans="1:20" x14ac:dyDescent="0.3">
      <c r="C15" s="149">
        <f>C4+C7+C10+C13</f>
        <v>86333540.584000006</v>
      </c>
      <c r="D15" s="149">
        <f t="shared" ref="D15:M15" si="1">D4+D7+D10+D13</f>
        <v>176517498.00120002</v>
      </c>
      <c r="E15" s="149">
        <f t="shared" si="1"/>
        <v>158877781.72760001</v>
      </c>
      <c r="F15" s="149">
        <f t="shared" si="1"/>
        <v>116436165.51400001</v>
      </c>
      <c r="G15" s="149">
        <f t="shared" si="1"/>
        <v>78997349.300400019</v>
      </c>
      <c r="H15" s="149">
        <f t="shared" si="1"/>
        <v>39890047.086800002</v>
      </c>
      <c r="I15" s="149">
        <f t="shared" si="1"/>
        <v>11916816.989999998</v>
      </c>
      <c r="J15" s="149">
        <f t="shared" si="1"/>
        <v>5433720</v>
      </c>
      <c r="K15" s="149">
        <f t="shared" si="1"/>
        <v>3174048</v>
      </c>
      <c r="L15" s="149">
        <f t="shared" si="1"/>
        <v>1022106</v>
      </c>
      <c r="M15" s="149">
        <f t="shared" si="1"/>
        <v>0</v>
      </c>
    </row>
    <row r="16" spans="1:20" x14ac:dyDescent="0.3">
      <c r="B16" s="77"/>
      <c r="C16" s="14"/>
      <c r="D16" s="14"/>
      <c r="E16" s="14"/>
      <c r="F16" s="14"/>
      <c r="G16" s="14"/>
      <c r="H16" s="14"/>
      <c r="I16" s="14"/>
      <c r="J16" s="14"/>
      <c r="K16" s="14"/>
    </row>
    <row r="18" spans="1:12" x14ac:dyDescent="0.3">
      <c r="A18" s="122" t="s">
        <v>2</v>
      </c>
      <c r="B18" s="150">
        <v>50000000</v>
      </c>
      <c r="C18" s="151">
        <f>B18+C19</f>
        <v>51000000</v>
      </c>
      <c r="D18" s="151">
        <f>C18+D20</f>
        <v>52020000</v>
      </c>
      <c r="E18" s="151">
        <f t="shared" ref="E18:K18" si="2">D18+E20</f>
        <v>53060400</v>
      </c>
      <c r="F18" s="151">
        <f t="shared" si="2"/>
        <v>54121608</v>
      </c>
      <c r="G18" s="151">
        <f t="shared" si="2"/>
        <v>55204040.159999996</v>
      </c>
      <c r="H18" s="151">
        <f t="shared" si="2"/>
        <v>56308120.963199995</v>
      </c>
      <c r="I18" s="151">
        <f t="shared" si="2"/>
        <v>57434283.382463992</v>
      </c>
      <c r="J18" s="151">
        <f t="shared" si="2"/>
        <v>58582969.050113268</v>
      </c>
      <c r="K18" s="151">
        <f t="shared" si="2"/>
        <v>59754628.43111553</v>
      </c>
    </row>
    <row r="19" spans="1:12" x14ac:dyDescent="0.3">
      <c r="A19" s="152">
        <v>0.02</v>
      </c>
      <c r="B19" s="122"/>
      <c r="C19" s="151">
        <f>C20</f>
        <v>1000000</v>
      </c>
      <c r="D19" s="151">
        <f>C19+D20</f>
        <v>2020000</v>
      </c>
      <c r="E19" s="151">
        <f t="shared" ref="E19:K19" si="3">D19+E20</f>
        <v>3060400</v>
      </c>
      <c r="F19" s="151">
        <f t="shared" si="3"/>
        <v>4121608</v>
      </c>
      <c r="G19" s="151">
        <f t="shared" si="3"/>
        <v>5204040.16</v>
      </c>
      <c r="H19" s="151">
        <f t="shared" si="3"/>
        <v>6308120.9632000001</v>
      </c>
      <c r="I19" s="151">
        <f t="shared" si="3"/>
        <v>7434283.382464</v>
      </c>
      <c r="J19" s="151">
        <f t="shared" si="3"/>
        <v>8582969.0501132794</v>
      </c>
      <c r="K19" s="151">
        <f t="shared" si="3"/>
        <v>9754628.4311155453</v>
      </c>
    </row>
    <row r="20" spans="1:12" x14ac:dyDescent="0.3">
      <c r="A20" s="122"/>
      <c r="B20" s="122"/>
      <c r="C20" s="151">
        <f t="shared" ref="C20:K20" si="4">B18*$A$19</f>
        <v>1000000</v>
      </c>
      <c r="D20" s="151">
        <f t="shared" si="4"/>
        <v>1020000</v>
      </c>
      <c r="E20" s="151">
        <f t="shared" si="4"/>
        <v>1040400</v>
      </c>
      <c r="F20" s="151">
        <f t="shared" si="4"/>
        <v>1061208</v>
      </c>
      <c r="G20" s="151">
        <f t="shared" si="4"/>
        <v>1082432.1599999999</v>
      </c>
      <c r="H20" s="151">
        <f t="shared" si="4"/>
        <v>1104080.8032</v>
      </c>
      <c r="I20" s="151">
        <f t="shared" si="4"/>
        <v>1126162.4192639999</v>
      </c>
      <c r="J20" s="151">
        <f t="shared" si="4"/>
        <v>1148685.6676492798</v>
      </c>
      <c r="K20" s="151">
        <f t="shared" si="4"/>
        <v>1171659.3810022655</v>
      </c>
    </row>
    <row r="21" spans="1:12" x14ac:dyDescent="0.3">
      <c r="C21" s="14"/>
      <c r="D21" s="14"/>
      <c r="E21" s="14"/>
      <c r="F21" s="14"/>
      <c r="G21" s="14"/>
      <c r="H21" s="14"/>
      <c r="I21" s="14"/>
      <c r="J21" s="14"/>
      <c r="K21" s="14"/>
    </row>
    <row r="22" spans="1:12" x14ac:dyDescent="0.3">
      <c r="F22" s="116" t="s">
        <v>85</v>
      </c>
      <c r="G22" s="116" t="s">
        <v>86</v>
      </c>
      <c r="H22" s="116" t="s">
        <v>87</v>
      </c>
      <c r="I22" s="117" t="s">
        <v>88</v>
      </c>
      <c r="J22" s="237" t="s">
        <v>89</v>
      </c>
      <c r="K22" s="237" t="s">
        <v>90</v>
      </c>
    </row>
    <row r="23" spans="1:12" x14ac:dyDescent="0.3">
      <c r="E23" s="118" t="s">
        <v>91</v>
      </c>
      <c r="F23" s="119">
        <v>1</v>
      </c>
      <c r="G23" s="120">
        <v>1</v>
      </c>
      <c r="H23" s="120">
        <v>1</v>
      </c>
      <c r="I23" s="121">
        <v>91</v>
      </c>
      <c r="J23" s="237"/>
      <c r="K23" s="237"/>
    </row>
    <row r="24" spans="1:12" x14ac:dyDescent="0.3">
      <c r="B24" s="238" t="s">
        <v>92</v>
      </c>
      <c r="C24" s="122" t="s">
        <v>93</v>
      </c>
      <c r="D24" s="123">
        <f>C35</f>
        <v>3000000</v>
      </c>
      <c r="E24" s="122" t="s">
        <v>85</v>
      </c>
      <c r="F24" s="116">
        <f>F23</f>
        <v>1</v>
      </c>
      <c r="G24" s="116"/>
      <c r="H24" s="116"/>
      <c r="I24" s="117"/>
      <c r="J24" s="124">
        <f>F24*D24</f>
        <v>3000000</v>
      </c>
    </row>
    <row r="25" spans="1:12" x14ac:dyDescent="0.3">
      <c r="B25" s="239"/>
      <c r="C25" s="122" t="s">
        <v>94</v>
      </c>
      <c r="D25" s="125">
        <v>600000</v>
      </c>
      <c r="E25" s="122" t="s">
        <v>85</v>
      </c>
      <c r="F25" s="116">
        <f>F23</f>
        <v>1</v>
      </c>
      <c r="G25" s="116"/>
      <c r="H25" s="116"/>
      <c r="I25" s="117">
        <f>IF($I$23&lt;=120,2,IF($I$22&gt;220,4,3))</f>
        <v>2</v>
      </c>
      <c r="J25" s="125">
        <f>D25*F25*I25</f>
        <v>1200000</v>
      </c>
    </row>
    <row r="26" spans="1:12" x14ac:dyDescent="0.3">
      <c r="B26" s="240"/>
      <c r="C26" s="122" t="s">
        <v>92</v>
      </c>
      <c r="D26" s="125">
        <v>200000</v>
      </c>
      <c r="E26" s="122" t="s">
        <v>95</v>
      </c>
      <c r="F26" s="116"/>
      <c r="G26" s="116">
        <f>G23</f>
        <v>1</v>
      </c>
      <c r="H26" s="116"/>
      <c r="I26" s="117"/>
      <c r="J26" s="125">
        <f>G26*D26</f>
        <v>200000</v>
      </c>
    </row>
    <row r="27" spans="1:12" x14ac:dyDescent="0.3">
      <c r="B27" s="122" t="s">
        <v>96</v>
      </c>
      <c r="C27" s="122" t="s">
        <v>96</v>
      </c>
      <c r="D27" s="125">
        <v>450000</v>
      </c>
      <c r="E27" s="122" t="s">
        <v>87</v>
      </c>
      <c r="F27" s="116">
        <f>F23</f>
        <v>1</v>
      </c>
      <c r="G27" s="116"/>
      <c r="H27" s="116">
        <f>H23</f>
        <v>1</v>
      </c>
      <c r="I27" s="117">
        <f>IF($I$23&lt;=120,2,IF($I$23&gt;220,4,3))</f>
        <v>2</v>
      </c>
      <c r="J27" s="125">
        <f>H27*D27*I27</f>
        <v>900000</v>
      </c>
    </row>
    <row r="28" spans="1:12" x14ac:dyDescent="0.3">
      <c r="B28" s="122" t="s">
        <v>97</v>
      </c>
      <c r="C28" s="122" t="s">
        <v>97</v>
      </c>
      <c r="D28" s="125">
        <v>120000</v>
      </c>
      <c r="E28" s="122" t="s">
        <v>85</v>
      </c>
      <c r="F28" s="116">
        <f>F23</f>
        <v>1</v>
      </c>
      <c r="G28" s="116"/>
      <c r="H28" s="116"/>
      <c r="I28" s="117">
        <f>IF($I$23&lt;=120,2,IF($I$23&gt;220,4,3))</f>
        <v>2</v>
      </c>
      <c r="J28" s="125">
        <f>I28*D28*F28</f>
        <v>240000</v>
      </c>
    </row>
    <row r="29" spans="1:12" x14ac:dyDescent="0.3">
      <c r="J29" s="126">
        <f>SUM(J24:J28)</f>
        <v>5540000</v>
      </c>
      <c r="K29" s="187">
        <f>J29*2</f>
        <v>11080000</v>
      </c>
      <c r="L29" s="187">
        <f>K29+B37</f>
        <v>26080000</v>
      </c>
    </row>
    <row r="30" spans="1:12" x14ac:dyDescent="0.3">
      <c r="K30" s="14">
        <f>B41</f>
        <v>15720000</v>
      </c>
    </row>
    <row r="31" spans="1:12" x14ac:dyDescent="0.3">
      <c r="K31" s="14">
        <f>K29+K30</f>
        <v>26800000</v>
      </c>
    </row>
    <row r="32" spans="1:12" x14ac:dyDescent="0.3">
      <c r="K32" s="14"/>
    </row>
    <row r="33" spans="1:11" x14ac:dyDescent="0.3">
      <c r="B33" s="116" t="s">
        <v>98</v>
      </c>
      <c r="C33" s="116" t="s">
        <v>93</v>
      </c>
      <c r="E33" s="122" t="s">
        <v>99</v>
      </c>
      <c r="K33" s="36"/>
    </row>
    <row r="34" spans="1:11" x14ac:dyDescent="0.3">
      <c r="A34" t="s">
        <v>100</v>
      </c>
      <c r="B34" s="77">
        <v>16800000</v>
      </c>
      <c r="C34" s="77">
        <v>4000000</v>
      </c>
      <c r="E34" t="s">
        <v>101</v>
      </c>
      <c r="K34" s="14"/>
    </row>
    <row r="35" spans="1:11" x14ac:dyDescent="0.3">
      <c r="A35" t="s">
        <v>102</v>
      </c>
      <c r="B35" s="77"/>
      <c r="C35" s="77">
        <v>3000000</v>
      </c>
      <c r="E35" t="s">
        <v>103</v>
      </c>
      <c r="I35" s="77">
        <v>10000000</v>
      </c>
    </row>
    <row r="36" spans="1:11" x14ac:dyDescent="0.3">
      <c r="A36" t="s">
        <v>104</v>
      </c>
      <c r="B36" s="77">
        <v>15600000</v>
      </c>
      <c r="C36" s="77">
        <v>2500000</v>
      </c>
      <c r="E36" t="s">
        <v>103</v>
      </c>
      <c r="H36" t="s">
        <v>105</v>
      </c>
      <c r="I36" s="77">
        <v>12000000</v>
      </c>
    </row>
    <row r="37" spans="1:11" x14ac:dyDescent="0.3">
      <c r="A37" t="s">
        <v>106</v>
      </c>
      <c r="B37" s="77">
        <v>15000000</v>
      </c>
      <c r="C37" s="77">
        <v>2000000</v>
      </c>
      <c r="E37" t="s">
        <v>103</v>
      </c>
      <c r="H37" t="s">
        <v>107</v>
      </c>
      <c r="I37" s="77">
        <v>14000000</v>
      </c>
    </row>
    <row r="38" spans="1:11" x14ac:dyDescent="0.3">
      <c r="A38" t="s">
        <v>108</v>
      </c>
      <c r="B38" s="77">
        <v>15000000</v>
      </c>
      <c r="C38" s="77">
        <v>1850000</v>
      </c>
      <c r="E38" t="s">
        <v>103</v>
      </c>
      <c r="H38" t="s">
        <v>109</v>
      </c>
      <c r="I38" s="77">
        <v>14000000</v>
      </c>
    </row>
    <row r="39" spans="1:11" x14ac:dyDescent="0.3">
      <c r="A39" t="s">
        <v>110</v>
      </c>
      <c r="B39" s="77">
        <v>12000000</v>
      </c>
      <c r="C39" s="77">
        <v>1200000</v>
      </c>
      <c r="E39" t="s">
        <v>103</v>
      </c>
      <c r="H39" t="s">
        <v>100</v>
      </c>
      <c r="I39" s="77">
        <v>17000000</v>
      </c>
    </row>
    <row r="40" spans="1:11" x14ac:dyDescent="0.3">
      <c r="A40" t="s">
        <v>111</v>
      </c>
      <c r="B40" s="77">
        <v>16800000</v>
      </c>
      <c r="C40" s="77">
        <v>2000000</v>
      </c>
      <c r="E40" t="s">
        <v>103</v>
      </c>
      <c r="H40" t="s">
        <v>111</v>
      </c>
      <c r="I40" s="77">
        <v>14000000</v>
      </c>
    </row>
    <row r="41" spans="1:11" x14ac:dyDescent="0.3">
      <c r="A41" t="s">
        <v>112</v>
      </c>
      <c r="B41" s="77">
        <v>15720000</v>
      </c>
      <c r="C41" s="77">
        <v>3500000</v>
      </c>
    </row>
    <row r="42" spans="1:11" x14ac:dyDescent="0.3">
      <c r="A42" t="s">
        <v>113</v>
      </c>
      <c r="C42" s="77">
        <v>2800000</v>
      </c>
    </row>
    <row r="43" spans="1:11" x14ac:dyDescent="0.3">
      <c r="A43" t="s">
        <v>114</v>
      </c>
      <c r="B43">
        <v>0</v>
      </c>
      <c r="C43" s="77">
        <v>0</v>
      </c>
      <c r="D43" t="s">
        <v>115</v>
      </c>
    </row>
    <row r="45" spans="1:11" x14ac:dyDescent="0.3">
      <c r="B45" s="116" t="s">
        <v>116</v>
      </c>
      <c r="C45" s="116"/>
    </row>
    <row r="46" spans="1:11" x14ac:dyDescent="0.3">
      <c r="B46" s="77">
        <v>7000000</v>
      </c>
    </row>
    <row r="48" spans="1:11" x14ac:dyDescent="0.3">
      <c r="A48" s="122" t="s">
        <v>117</v>
      </c>
      <c r="B48" s="14"/>
    </row>
    <row r="49" spans="1:2" x14ac:dyDescent="0.3">
      <c r="A49" t="s">
        <v>118</v>
      </c>
    </row>
    <row r="50" spans="1:2" x14ac:dyDescent="0.3">
      <c r="A50" t="s">
        <v>119</v>
      </c>
      <c r="B50" s="77">
        <v>36000000</v>
      </c>
    </row>
    <row r="51" spans="1:2" x14ac:dyDescent="0.3">
      <c r="A51" t="s">
        <v>120</v>
      </c>
      <c r="B51" s="77">
        <v>42000000</v>
      </c>
    </row>
    <row r="52" spans="1:2" x14ac:dyDescent="0.3">
      <c r="A52" t="s">
        <v>121</v>
      </c>
      <c r="B52" s="77">
        <v>48000000</v>
      </c>
    </row>
    <row r="54" spans="1:2" x14ac:dyDescent="0.3">
      <c r="A54" t="s">
        <v>122</v>
      </c>
    </row>
    <row r="55" spans="1:2" x14ac:dyDescent="0.3">
      <c r="A55" t="s">
        <v>123</v>
      </c>
      <c r="B55" s="77">
        <v>75000000</v>
      </c>
    </row>
    <row r="56" spans="1:2" x14ac:dyDescent="0.3">
      <c r="A56" t="s">
        <v>121</v>
      </c>
      <c r="B56" s="77">
        <v>95000000</v>
      </c>
    </row>
  </sheetData>
  <mergeCells count="3">
    <mergeCell ref="J22:J23"/>
    <mergeCell ref="K22:K23"/>
    <mergeCell ref="B24:B26"/>
  </mergeCells>
  <conditionalFormatting sqref="B16:K16 C14:K14 C8:D10 F8:K10 O4:S4 C15:M15 C4:K7">
    <cfRule type="cellIs" dxfId="3" priority="4" operator="lessThan">
      <formula>0</formula>
    </cfRule>
  </conditionalFormatting>
  <conditionalFormatting sqref="T4">
    <cfRule type="cellIs" dxfId="2" priority="3" operator="lessThan">
      <formula>0</formula>
    </cfRule>
  </conditionalFormatting>
  <conditionalFormatting sqref="C11:F13">
    <cfRule type="cellIs" dxfId="1" priority="2" operator="lessThan">
      <formula>0</formula>
    </cfRule>
  </conditionalFormatting>
  <conditionalFormatting sqref="G11:L1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EAA20-EDDF-4751-BF8B-CC229C58630E}">
  <dimension ref="A1:J21"/>
  <sheetViews>
    <sheetView showGridLines="0" topLeftCell="C1" zoomScaleNormal="100" workbookViewId="0">
      <selection activeCell="F11" sqref="F11:J19"/>
    </sheetView>
  </sheetViews>
  <sheetFormatPr defaultColWidth="8.3984375" defaultRowHeight="14.4" x14ac:dyDescent="0.3"/>
  <cols>
    <col min="1" max="1" width="5.09765625" style="175" customWidth="1"/>
    <col min="2" max="2" width="26.796875" style="175" customWidth="1"/>
    <col min="3" max="3" width="45.69921875" style="175" customWidth="1"/>
    <col min="4" max="4" width="50.69921875" style="175" customWidth="1"/>
    <col min="5" max="5" width="12.59765625" style="175" bestFit="1" customWidth="1"/>
    <col min="6" max="6" width="11" style="175" customWidth="1"/>
    <col min="7" max="8" width="12.59765625" style="175" bestFit="1" customWidth="1"/>
    <col min="9" max="9" width="9" style="175" bestFit="1" customWidth="1"/>
    <col min="10" max="16384" width="8.3984375" style="175"/>
  </cols>
  <sheetData>
    <row r="1" spans="1:10" ht="21" x14ac:dyDescent="0.4">
      <c r="C1" s="176" t="s">
        <v>139</v>
      </c>
    </row>
    <row r="2" spans="1:10" x14ac:dyDescent="0.3">
      <c r="D2" s="177"/>
    </row>
    <row r="3" spans="1:10" x14ac:dyDescent="0.3">
      <c r="A3" s="171" t="s">
        <v>147</v>
      </c>
      <c r="B3" s="171"/>
      <c r="C3" s="172" t="s">
        <v>157</v>
      </c>
    </row>
    <row r="4" spans="1:10" x14ac:dyDescent="0.3">
      <c r="A4" s="171" t="s">
        <v>148</v>
      </c>
      <c r="B4" s="171"/>
      <c r="C4" s="172" t="s">
        <v>158</v>
      </c>
      <c r="D4" s="177"/>
    </row>
    <row r="5" spans="1:10" x14ac:dyDescent="0.3">
      <c r="A5" s="171" t="s">
        <v>149</v>
      </c>
      <c r="B5" s="171"/>
      <c r="C5" s="172" t="s">
        <v>159</v>
      </c>
    </row>
    <row r="6" spans="1:10" x14ac:dyDescent="0.3">
      <c r="A6" s="171" t="s">
        <v>150</v>
      </c>
      <c r="B6" s="171"/>
      <c r="C6" s="172" t="s">
        <v>160</v>
      </c>
    </row>
    <row r="7" spans="1:10" x14ac:dyDescent="0.3">
      <c r="A7" s="171" t="s">
        <v>151</v>
      </c>
      <c r="B7" s="171"/>
      <c r="C7" s="172" t="s">
        <v>161</v>
      </c>
    </row>
    <row r="9" spans="1:10" x14ac:dyDescent="0.3">
      <c r="A9" s="243" t="s">
        <v>140</v>
      </c>
      <c r="B9" s="244" t="s">
        <v>141</v>
      </c>
      <c r="C9" s="244" t="s">
        <v>142</v>
      </c>
      <c r="D9" s="244" t="s">
        <v>162</v>
      </c>
    </row>
    <row r="10" spans="1:10" x14ac:dyDescent="0.3">
      <c r="A10" s="243"/>
      <c r="B10" s="245"/>
      <c r="C10" s="245"/>
      <c r="D10" s="245"/>
    </row>
    <row r="11" spans="1:10" x14ac:dyDescent="0.3">
      <c r="A11" s="178">
        <v>1</v>
      </c>
      <c r="B11" s="179" t="s">
        <v>143</v>
      </c>
      <c r="C11" s="179" t="s">
        <v>59</v>
      </c>
      <c r="D11" s="179" t="s">
        <v>59</v>
      </c>
    </row>
    <row r="12" spans="1:10" x14ac:dyDescent="0.3">
      <c r="A12" s="178">
        <v>2</v>
      </c>
      <c r="B12" s="179" t="s">
        <v>146</v>
      </c>
      <c r="C12" s="180" t="str">
        <f>C7</f>
        <v>:  140 Omni + 6 Unit Pole Antenna + RBS 45 m²</v>
      </c>
      <c r="D12" s="179" t="str">
        <f>C7</f>
        <v>:  140 Omni + 6 Unit Pole Antenna + RBS 45 m²</v>
      </c>
    </row>
    <row r="13" spans="1:10" x14ac:dyDescent="0.3">
      <c r="A13" s="178">
        <v>3</v>
      </c>
      <c r="B13" s="179" t="s">
        <v>163</v>
      </c>
      <c r="C13" s="179" t="s">
        <v>164</v>
      </c>
      <c r="D13" s="179" t="s">
        <v>165</v>
      </c>
      <c r="I13" s="175" t="s">
        <v>182</v>
      </c>
    </row>
    <row r="14" spans="1:10" x14ac:dyDescent="0.3">
      <c r="A14" s="178">
        <v>4</v>
      </c>
      <c r="B14" s="181" t="s">
        <v>166</v>
      </c>
      <c r="C14" s="182" t="s">
        <v>167</v>
      </c>
      <c r="D14" s="182" t="s">
        <v>183</v>
      </c>
      <c r="F14" s="185">
        <v>1651650000</v>
      </c>
      <c r="G14" s="186">
        <f>F14/4</f>
        <v>412912500</v>
      </c>
      <c r="H14" s="185">
        <f>1501500000</f>
        <v>1501500000</v>
      </c>
      <c r="I14" s="186">
        <f>H14*105%</f>
        <v>1576575000</v>
      </c>
    </row>
    <row r="15" spans="1:10" x14ac:dyDescent="0.3">
      <c r="A15" s="246">
        <v>6</v>
      </c>
      <c r="B15" s="179" t="s">
        <v>168</v>
      </c>
      <c r="C15" s="179" t="s">
        <v>169</v>
      </c>
      <c r="D15" s="179" t="s">
        <v>169</v>
      </c>
      <c r="F15" s="185">
        <v>136500000</v>
      </c>
      <c r="I15" s="186">
        <f>I14/4</f>
        <v>394143750</v>
      </c>
    </row>
    <row r="16" spans="1:10" x14ac:dyDescent="0.3">
      <c r="A16" s="247"/>
      <c r="B16" s="179"/>
      <c r="C16" s="179" t="s">
        <v>170</v>
      </c>
      <c r="D16" s="179" t="s">
        <v>170</v>
      </c>
      <c r="F16" s="185">
        <v>176904000</v>
      </c>
      <c r="G16" s="175" t="s">
        <v>185</v>
      </c>
      <c r="I16" s="175">
        <f>(I14-H14)/H14</f>
        <v>0.05</v>
      </c>
      <c r="J16" s="175">
        <v>159000000</v>
      </c>
    </row>
    <row r="17" spans="1:6" x14ac:dyDescent="0.3">
      <c r="A17" s="183"/>
      <c r="B17" s="179"/>
      <c r="C17" s="179" t="s">
        <v>171</v>
      </c>
      <c r="D17" s="179" t="s">
        <v>186</v>
      </c>
      <c r="F17" s="185">
        <v>240000000</v>
      </c>
    </row>
    <row r="18" spans="1:6" x14ac:dyDescent="0.3">
      <c r="A18" s="183"/>
      <c r="B18" s="179"/>
      <c r="C18" s="179" t="s">
        <v>172</v>
      </c>
      <c r="D18" s="179" t="s">
        <v>187</v>
      </c>
      <c r="F18" s="185">
        <v>196560000</v>
      </c>
    </row>
    <row r="19" spans="1:6" x14ac:dyDescent="0.3">
      <c r="A19" s="184">
        <v>7</v>
      </c>
      <c r="B19" s="173" t="s">
        <v>173</v>
      </c>
      <c r="C19" s="241" t="s">
        <v>184</v>
      </c>
      <c r="D19" s="242"/>
    </row>
    <row r="21" spans="1:6" x14ac:dyDescent="0.3">
      <c r="B21" s="175" t="s">
        <v>174</v>
      </c>
    </row>
  </sheetData>
  <mergeCells count="6">
    <mergeCell ref="C19:D19"/>
    <mergeCell ref="A9:A10"/>
    <mergeCell ref="B9:B10"/>
    <mergeCell ref="C9:C10"/>
    <mergeCell ref="D9:D10"/>
    <mergeCell ref="A15:A16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E7239-51C6-4436-9CEC-36F13FD054B6}">
  <dimension ref="A2:O55"/>
  <sheetViews>
    <sheetView tabSelected="1" zoomScale="110" zoomScaleNormal="110" workbookViewId="0">
      <selection activeCell="I21" sqref="I21"/>
    </sheetView>
  </sheetViews>
  <sheetFormatPr defaultRowHeight="14.4" x14ac:dyDescent="0.3"/>
  <cols>
    <col min="1" max="1" width="24.3984375" style="192" customWidth="1"/>
    <col min="2" max="2" width="11.59765625" style="192" customWidth="1"/>
    <col min="3" max="3" width="12.59765625" style="192" customWidth="1"/>
    <col min="4" max="4" width="8" style="192" customWidth="1"/>
    <col min="5" max="5" width="14.5" style="192" bestFit="1" customWidth="1"/>
    <col min="6" max="6" width="14.5" style="192" customWidth="1"/>
    <col min="7" max="8" width="8.796875" style="192"/>
    <col min="9" max="9" width="13.3984375" style="192" bestFit="1" customWidth="1"/>
    <col min="10" max="10" width="9.59765625" style="192" customWidth="1"/>
    <col min="11" max="11" width="8.796875" style="192"/>
    <col min="12" max="12" width="16.19921875" style="192" customWidth="1"/>
    <col min="13" max="13" width="14.8984375" style="192" customWidth="1"/>
    <col min="14" max="14" width="16.59765625" style="192" customWidth="1"/>
    <col min="15" max="15" width="20.59765625" style="192" bestFit="1" customWidth="1"/>
    <col min="16" max="16384" width="8.796875" style="192"/>
  </cols>
  <sheetData>
    <row r="2" spans="1:13" x14ac:dyDescent="0.3">
      <c r="A2" s="248" t="s">
        <v>194</v>
      </c>
      <c r="B2" s="248"/>
      <c r="C2" s="248"/>
      <c r="D2" s="248"/>
      <c r="E2" s="248"/>
      <c r="F2" s="248"/>
      <c r="G2" s="191"/>
      <c r="H2" s="191"/>
      <c r="I2" s="191"/>
      <c r="J2" s="191"/>
      <c r="K2" s="191"/>
      <c r="L2" s="191"/>
      <c r="M2" s="191"/>
    </row>
    <row r="3" spans="1:13" x14ac:dyDescent="0.3">
      <c r="A3" s="193" t="s">
        <v>195</v>
      </c>
      <c r="B3" s="193" t="s">
        <v>196</v>
      </c>
      <c r="C3" s="193" t="s">
        <v>197</v>
      </c>
      <c r="D3" s="194"/>
      <c r="G3" s="191"/>
      <c r="H3" s="191"/>
      <c r="I3" s="191"/>
      <c r="J3" s="191"/>
      <c r="K3" s="191"/>
      <c r="L3" s="191"/>
      <c r="M3" s="191"/>
    </row>
    <row r="4" spans="1:13" x14ac:dyDescent="0.3">
      <c r="A4" s="195" t="s">
        <v>218</v>
      </c>
      <c r="B4" s="196">
        <v>45950</v>
      </c>
      <c r="C4" s="196">
        <v>47777</v>
      </c>
      <c r="D4" s="194"/>
      <c r="G4" s="191"/>
      <c r="H4" s="191"/>
      <c r="I4" s="191"/>
      <c r="J4" s="191"/>
      <c r="K4" s="191"/>
      <c r="L4" s="191"/>
      <c r="M4" s="191"/>
    </row>
    <row r="5" spans="1:13" x14ac:dyDescent="0.3">
      <c r="A5" s="195" t="s">
        <v>199</v>
      </c>
      <c r="B5" s="196">
        <v>45745</v>
      </c>
      <c r="C5" s="196">
        <v>47570</v>
      </c>
      <c r="D5" s="194"/>
      <c r="G5" s="191"/>
      <c r="H5" s="191"/>
      <c r="I5" s="191"/>
      <c r="J5" s="191"/>
      <c r="K5" s="191"/>
      <c r="L5" s="191"/>
      <c r="M5" s="191"/>
    </row>
    <row r="6" spans="1:13" x14ac:dyDescent="0.3">
      <c r="A6" s="198" t="s">
        <v>200</v>
      </c>
      <c r="B6" s="196">
        <v>44518</v>
      </c>
      <c r="C6" s="196">
        <v>46343</v>
      </c>
      <c r="D6" s="199"/>
      <c r="G6" s="191"/>
      <c r="H6" s="191"/>
      <c r="I6" s="191"/>
      <c r="J6" s="191"/>
      <c r="K6" s="191"/>
      <c r="L6" s="191"/>
      <c r="M6" s="191"/>
    </row>
    <row r="7" spans="1:13" x14ac:dyDescent="0.3">
      <c r="A7" s="198" t="s">
        <v>201</v>
      </c>
      <c r="B7" s="196">
        <v>45839</v>
      </c>
      <c r="C7" s="196">
        <v>47299</v>
      </c>
      <c r="D7" s="199"/>
      <c r="G7" s="191"/>
      <c r="H7" s="191"/>
      <c r="I7" s="191"/>
      <c r="J7" s="191"/>
      <c r="K7" s="191"/>
      <c r="L7" s="191"/>
      <c r="M7" s="191"/>
    </row>
    <row r="8" spans="1:13" x14ac:dyDescent="0.3">
      <c r="A8" s="191"/>
      <c r="G8" s="191"/>
      <c r="H8" s="191"/>
      <c r="I8" s="191"/>
      <c r="J8" s="191"/>
      <c r="K8" s="191"/>
      <c r="L8" s="191"/>
      <c r="M8" s="191"/>
    </row>
    <row r="9" spans="1:13" x14ac:dyDescent="0.3">
      <c r="A9" s="191"/>
      <c r="B9" s="193" t="s">
        <v>196</v>
      </c>
      <c r="C9" s="193" t="s">
        <v>197</v>
      </c>
      <c r="D9" s="193" t="s">
        <v>202</v>
      </c>
      <c r="E9" s="199"/>
      <c r="F9" s="199"/>
      <c r="G9" s="191"/>
      <c r="H9" s="191"/>
      <c r="I9" s="191"/>
      <c r="J9" s="191"/>
      <c r="K9" s="191"/>
      <c r="L9" s="191"/>
      <c r="M9" s="191"/>
    </row>
    <row r="10" spans="1:13" x14ac:dyDescent="0.3">
      <c r="A10" s="191" t="s">
        <v>219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x14ac:dyDescent="0.3">
      <c r="A11" s="191" t="s">
        <v>218</v>
      </c>
      <c r="B11" s="196">
        <v>45950</v>
      </c>
      <c r="C11" s="196">
        <v>47299</v>
      </c>
      <c r="D11" s="201">
        <f>C11-B11</f>
        <v>1349</v>
      </c>
      <c r="E11" s="202">
        <v>176904000</v>
      </c>
      <c r="F11" s="203">
        <f>E11/365*D11</f>
        <v>653817797.26027393</v>
      </c>
      <c r="G11" s="191"/>
      <c r="H11" s="191"/>
      <c r="I11" s="191"/>
      <c r="J11" s="191"/>
      <c r="K11" s="191"/>
      <c r="L11" s="191"/>
      <c r="M11" s="191"/>
    </row>
    <row r="12" spans="1:13" x14ac:dyDescent="0.3">
      <c r="A12" s="191" t="s">
        <v>199</v>
      </c>
      <c r="B12" s="196">
        <v>45839</v>
      </c>
      <c r="C12" s="196">
        <v>47299</v>
      </c>
      <c r="D12" s="201">
        <f t="shared" ref="D12:D16" si="0">C12-B12</f>
        <v>1460</v>
      </c>
      <c r="E12" s="202">
        <v>240000000</v>
      </c>
      <c r="F12" s="203">
        <f t="shared" ref="F12:F13" si="1">E12/365*D12</f>
        <v>960000000</v>
      </c>
      <c r="G12" s="191"/>
      <c r="H12" s="191"/>
      <c r="I12" s="191"/>
      <c r="J12" s="191"/>
      <c r="K12" s="191"/>
      <c r="L12" s="191"/>
      <c r="M12" s="191"/>
    </row>
    <row r="13" spans="1:13" x14ac:dyDescent="0.3">
      <c r="A13" s="191" t="s">
        <v>221</v>
      </c>
      <c r="B13" s="196">
        <v>45839</v>
      </c>
      <c r="C13" s="196">
        <v>46343</v>
      </c>
      <c r="D13" s="201">
        <f t="shared" si="0"/>
        <v>504</v>
      </c>
      <c r="E13" s="202">
        <v>136500000</v>
      </c>
      <c r="F13" s="203">
        <f t="shared" si="1"/>
        <v>188482191.78082192</v>
      </c>
      <c r="G13" s="191"/>
      <c r="H13" s="191"/>
      <c r="I13" s="191"/>
      <c r="J13" s="191"/>
      <c r="K13" s="191"/>
      <c r="L13" s="191"/>
      <c r="M13" s="191"/>
    </row>
    <row r="14" spans="1:13" x14ac:dyDescent="0.3">
      <c r="A14" s="191" t="s">
        <v>203</v>
      </c>
      <c r="B14" s="196">
        <v>45839</v>
      </c>
      <c r="C14" s="196">
        <v>47299</v>
      </c>
      <c r="D14" s="201">
        <f t="shared" si="0"/>
        <v>1460</v>
      </c>
      <c r="E14" s="202">
        <v>394143750</v>
      </c>
      <c r="F14" s="203">
        <f>-E14/365*D14</f>
        <v>-1576574999.9999998</v>
      </c>
      <c r="G14" s="191"/>
      <c r="H14" s="191"/>
      <c r="I14" s="191"/>
      <c r="J14" s="191"/>
      <c r="K14" s="191"/>
      <c r="L14" s="191"/>
      <c r="M14" s="191"/>
    </row>
    <row r="15" spans="1:13" x14ac:dyDescent="0.3">
      <c r="A15" s="191" t="s">
        <v>220</v>
      </c>
      <c r="B15" s="196">
        <v>45839</v>
      </c>
      <c r="C15" s="196">
        <v>47299</v>
      </c>
      <c r="D15" s="201">
        <f t="shared" si="0"/>
        <v>1460</v>
      </c>
      <c r="E15" s="202">
        <v>36000000</v>
      </c>
      <c r="F15" s="203">
        <f t="shared" ref="F15:F16" si="2">-E15/365*D15</f>
        <v>-144000000</v>
      </c>
      <c r="G15" s="191"/>
      <c r="H15" s="191"/>
      <c r="I15" s="191"/>
      <c r="J15" s="191"/>
      <c r="K15" s="191"/>
      <c r="L15" s="191"/>
      <c r="M15" s="191"/>
    </row>
    <row r="16" spans="1:13" x14ac:dyDescent="0.3">
      <c r="A16" s="191" t="s">
        <v>204</v>
      </c>
      <c r="B16" s="196">
        <v>45839</v>
      </c>
      <c r="C16" s="196">
        <v>47299</v>
      </c>
      <c r="D16" s="201">
        <f t="shared" si="0"/>
        <v>1460</v>
      </c>
      <c r="E16" s="202">
        <v>47080000</v>
      </c>
      <c r="F16" s="203">
        <f t="shared" si="2"/>
        <v>-188320000</v>
      </c>
      <c r="G16" s="191"/>
      <c r="H16" s="191"/>
      <c r="I16" s="191"/>
      <c r="J16" s="191"/>
      <c r="K16" s="191"/>
      <c r="L16" s="191"/>
      <c r="M16" s="191"/>
    </row>
    <row r="17" spans="1:13" x14ac:dyDescent="0.3">
      <c r="A17" s="191" t="s">
        <v>205</v>
      </c>
      <c r="B17" s="191"/>
      <c r="C17" s="191"/>
      <c r="D17" s="191"/>
      <c r="E17" s="204">
        <v>100000000</v>
      </c>
      <c r="F17" s="205"/>
      <c r="G17" s="191"/>
      <c r="H17" s="191"/>
      <c r="I17" s="191"/>
      <c r="J17" s="191"/>
      <c r="K17" s="191"/>
      <c r="L17" s="191"/>
      <c r="M17" s="191"/>
    </row>
    <row r="18" spans="1:13" x14ac:dyDescent="0.3">
      <c r="A18" s="191" t="s">
        <v>206</v>
      </c>
      <c r="B18" s="191"/>
      <c r="C18" s="191"/>
      <c r="D18" s="191"/>
      <c r="E18" s="191"/>
      <c r="F18" s="203">
        <f>SUM(F11:F17)</f>
        <v>-106595010.95890403</v>
      </c>
      <c r="G18" s="191"/>
      <c r="H18" s="191"/>
      <c r="I18" s="191"/>
      <c r="J18" s="191"/>
      <c r="K18" s="191"/>
      <c r="L18" s="191"/>
      <c r="M18" s="191"/>
    </row>
    <row r="19" spans="1:13" x14ac:dyDescent="0.3">
      <c r="A19" s="191"/>
      <c r="B19" s="191"/>
      <c r="C19" s="191"/>
      <c r="D19" s="191"/>
      <c r="E19" s="191"/>
      <c r="F19" s="203"/>
      <c r="G19" s="191"/>
      <c r="H19" s="191"/>
      <c r="I19" s="191"/>
      <c r="J19" s="191"/>
      <c r="K19" s="191"/>
      <c r="L19" s="191"/>
      <c r="M19" s="191"/>
    </row>
    <row r="20" spans="1:13" x14ac:dyDescent="0.3">
      <c r="A20" s="213" t="s">
        <v>222</v>
      </c>
      <c r="B20" s="213"/>
      <c r="C20" s="213"/>
      <c r="D20" s="213"/>
      <c r="E20" s="213"/>
      <c r="F20" s="213"/>
      <c r="G20" s="213"/>
      <c r="H20" s="191"/>
      <c r="I20" s="191"/>
      <c r="J20" s="191"/>
      <c r="K20" s="191"/>
      <c r="L20" s="191"/>
      <c r="M20" s="191"/>
    </row>
    <row r="21" spans="1:13" x14ac:dyDescent="0.3">
      <c r="A21" s="191" t="s">
        <v>218</v>
      </c>
      <c r="B21" s="196">
        <v>45950</v>
      </c>
      <c r="C21" s="196">
        <v>47299</v>
      </c>
      <c r="D21" s="201">
        <f>C21-B21</f>
        <v>1349</v>
      </c>
      <c r="E21" s="202">
        <v>176904000</v>
      </c>
      <c r="F21" s="203">
        <f>E21/365*D21</f>
        <v>653817797.26027393</v>
      </c>
      <c r="G21" s="191"/>
      <c r="H21" s="191"/>
      <c r="I21" s="191"/>
      <c r="J21" s="191"/>
      <c r="K21" s="191"/>
      <c r="L21" s="191"/>
      <c r="M21" s="191"/>
    </row>
    <row r="22" spans="1:13" x14ac:dyDescent="0.3">
      <c r="A22" s="191" t="s">
        <v>199</v>
      </c>
      <c r="B22" s="196">
        <v>45839</v>
      </c>
      <c r="C22" s="196">
        <v>47299</v>
      </c>
      <c r="D22" s="201">
        <f t="shared" ref="D22:D26" si="3">C22-B22</f>
        <v>1460</v>
      </c>
      <c r="E22" s="202">
        <f>240000000*95%</f>
        <v>228000000</v>
      </c>
      <c r="F22" s="203">
        <f t="shared" ref="F22:F23" si="4">E22/365*D22</f>
        <v>912000000</v>
      </c>
      <c r="G22" s="191"/>
      <c r="H22" s="191"/>
      <c r="I22" s="191"/>
      <c r="J22" s="191"/>
      <c r="K22" s="191"/>
      <c r="L22" s="191"/>
      <c r="M22" s="191"/>
    </row>
    <row r="23" spans="1:13" x14ac:dyDescent="0.3">
      <c r="A23" s="191" t="s">
        <v>221</v>
      </c>
      <c r="B23" s="196">
        <v>45839</v>
      </c>
      <c r="C23" s="196">
        <v>47299</v>
      </c>
      <c r="D23" s="201">
        <f t="shared" si="3"/>
        <v>1460</v>
      </c>
      <c r="E23" s="202">
        <v>136500000</v>
      </c>
      <c r="F23" s="203">
        <f t="shared" si="4"/>
        <v>546000000</v>
      </c>
      <c r="G23" s="191"/>
      <c r="H23" s="191"/>
      <c r="I23" s="191"/>
      <c r="J23" s="191"/>
      <c r="K23" s="191"/>
      <c r="L23" s="191"/>
      <c r="M23" s="191"/>
    </row>
    <row r="24" spans="1:13" x14ac:dyDescent="0.3">
      <c r="A24" s="191" t="s">
        <v>203</v>
      </c>
      <c r="B24" s="196">
        <v>45839</v>
      </c>
      <c r="C24" s="196">
        <v>47299</v>
      </c>
      <c r="D24" s="201">
        <f t="shared" si="3"/>
        <v>1460</v>
      </c>
      <c r="E24" s="202">
        <v>394143750</v>
      </c>
      <c r="F24" s="203">
        <f>-E24/365*D24</f>
        <v>-1576574999.9999998</v>
      </c>
      <c r="G24" s="191"/>
      <c r="H24" s="191"/>
      <c r="I24" s="191"/>
      <c r="J24" s="191"/>
      <c r="K24" s="191"/>
      <c r="L24" s="191"/>
      <c r="M24" s="191"/>
    </row>
    <row r="25" spans="1:13" x14ac:dyDescent="0.3">
      <c r="A25" s="191" t="s">
        <v>220</v>
      </c>
      <c r="B25" s="196">
        <v>45839</v>
      </c>
      <c r="C25" s="196">
        <v>47299</v>
      </c>
      <c r="D25" s="201">
        <f t="shared" si="3"/>
        <v>1460</v>
      </c>
      <c r="E25" s="202">
        <v>36000000</v>
      </c>
      <c r="F25" s="203">
        <f t="shared" ref="F25:F26" si="5">-E25/365*D25</f>
        <v>-144000000</v>
      </c>
      <c r="G25" s="191"/>
      <c r="H25" s="191"/>
      <c r="I25" s="191"/>
      <c r="J25" s="191"/>
      <c r="K25" s="191"/>
      <c r="L25" s="191"/>
      <c r="M25" s="191"/>
    </row>
    <row r="26" spans="1:13" x14ac:dyDescent="0.3">
      <c r="A26" s="191" t="s">
        <v>204</v>
      </c>
      <c r="B26" s="196">
        <v>45839</v>
      </c>
      <c r="C26" s="196">
        <v>47299</v>
      </c>
      <c r="D26" s="201">
        <f t="shared" si="3"/>
        <v>1460</v>
      </c>
      <c r="E26" s="202">
        <v>47080000</v>
      </c>
      <c r="F26" s="203">
        <f t="shared" si="5"/>
        <v>-188320000</v>
      </c>
      <c r="G26" s="191"/>
      <c r="H26" s="191"/>
      <c r="I26" s="191"/>
      <c r="J26" s="191"/>
      <c r="K26" s="191"/>
      <c r="L26" s="191"/>
      <c r="M26" s="191"/>
    </row>
    <row r="27" spans="1:13" x14ac:dyDescent="0.3">
      <c r="A27" s="191" t="s">
        <v>205</v>
      </c>
      <c r="B27" s="191"/>
      <c r="C27" s="191"/>
      <c r="D27" s="191"/>
      <c r="E27" s="204">
        <v>100000000</v>
      </c>
      <c r="F27" s="205"/>
      <c r="G27" s="191"/>
      <c r="H27" s="191"/>
      <c r="I27" s="191"/>
      <c r="J27" s="191"/>
      <c r="K27" s="191"/>
      <c r="L27" s="191"/>
      <c r="M27" s="191"/>
    </row>
    <row r="28" spans="1:13" x14ac:dyDescent="0.3">
      <c r="A28" s="191" t="s">
        <v>206</v>
      </c>
      <c r="B28" s="191"/>
      <c r="C28" s="191"/>
      <c r="D28" s="191"/>
      <c r="E28" s="191"/>
      <c r="F28" s="203">
        <f>SUM(F21:F27)</f>
        <v>202922797.26027417</v>
      </c>
      <c r="G28" s="191"/>
      <c r="H28" s="191"/>
      <c r="I28" s="191"/>
      <c r="J28" s="191"/>
      <c r="K28" s="191"/>
      <c r="L28" s="191"/>
      <c r="M28" s="191"/>
    </row>
    <row r="31" spans="1:13" x14ac:dyDescent="0.3">
      <c r="H31" s="248" t="s">
        <v>194</v>
      </c>
      <c r="I31" s="248"/>
      <c r="J31" s="248"/>
      <c r="K31" s="248"/>
      <c r="L31" s="248"/>
      <c r="M31" s="248"/>
    </row>
    <row r="32" spans="1:13" x14ac:dyDescent="0.3">
      <c r="H32" s="193" t="s">
        <v>195</v>
      </c>
      <c r="I32" s="193" t="s">
        <v>196</v>
      </c>
      <c r="J32" s="193" t="s">
        <v>197</v>
      </c>
    </row>
    <row r="33" spans="8:15" x14ac:dyDescent="0.3">
      <c r="H33" s="195" t="s">
        <v>198</v>
      </c>
      <c r="I33" s="196">
        <v>44124</v>
      </c>
      <c r="J33" s="196">
        <v>45220</v>
      </c>
      <c r="K33" s="199" t="s">
        <v>213</v>
      </c>
      <c r="L33" s="197"/>
      <c r="M33" s="197"/>
    </row>
    <row r="34" spans="8:15" x14ac:dyDescent="0.3">
      <c r="H34" s="195" t="s">
        <v>199</v>
      </c>
      <c r="I34" s="196">
        <v>43919</v>
      </c>
      <c r="J34" s="196">
        <v>45744</v>
      </c>
    </row>
    <row r="35" spans="8:15" x14ac:dyDescent="0.3">
      <c r="H35" s="198" t="s">
        <v>200</v>
      </c>
      <c r="I35" s="196">
        <v>44518</v>
      </c>
      <c r="J35" s="196">
        <v>46343</v>
      </c>
    </row>
    <row r="36" spans="8:15" x14ac:dyDescent="0.3">
      <c r="H36" s="198" t="s">
        <v>201</v>
      </c>
      <c r="I36" s="196">
        <v>44378</v>
      </c>
      <c r="J36" s="196">
        <v>45838</v>
      </c>
    </row>
    <row r="38" spans="8:15" x14ac:dyDescent="0.3">
      <c r="H38" s="206" t="s">
        <v>214</v>
      </c>
      <c r="I38" s="191"/>
      <c r="J38" s="191"/>
      <c r="K38" s="191"/>
      <c r="L38" s="191"/>
      <c r="M38" s="191"/>
    </row>
    <row r="39" spans="8:15" x14ac:dyDescent="0.3">
      <c r="H39" s="191"/>
      <c r="I39" s="191"/>
      <c r="J39" s="191"/>
      <c r="K39" s="191"/>
      <c r="L39" s="249" t="s">
        <v>215</v>
      </c>
      <c r="M39" s="250"/>
      <c r="N39" s="249" t="s">
        <v>216</v>
      </c>
      <c r="O39" s="251"/>
    </row>
    <row r="40" spans="8:15" x14ac:dyDescent="0.3">
      <c r="H40" s="191" t="s">
        <v>212</v>
      </c>
      <c r="I40" s="200">
        <v>44378</v>
      </c>
      <c r="J40" s="200">
        <v>45220</v>
      </c>
      <c r="K40" s="201">
        <f>J40-I40</f>
        <v>842</v>
      </c>
      <c r="L40" s="202">
        <v>157248000</v>
      </c>
      <c r="M40" s="203">
        <f>L40*K40/365</f>
        <v>362747441.0958904</v>
      </c>
      <c r="N40" s="202">
        <v>157248000</v>
      </c>
      <c r="O40" s="203">
        <f>N40*K40/365</f>
        <v>362747441.0958904</v>
      </c>
    </row>
    <row r="41" spans="8:15" x14ac:dyDescent="0.3">
      <c r="H41" s="191" t="s">
        <v>199</v>
      </c>
      <c r="I41" s="200">
        <v>44378</v>
      </c>
      <c r="J41" s="200">
        <v>45744</v>
      </c>
      <c r="K41" s="201">
        <f t="shared" ref="K41:K45" si="6">J41-I41</f>
        <v>1366</v>
      </c>
      <c r="L41" s="202">
        <v>240000000</v>
      </c>
      <c r="M41" s="203">
        <f t="shared" ref="M41:M42" si="7">L41*K41/365</f>
        <v>898191780.82191777</v>
      </c>
      <c r="N41" s="202">
        <v>240000000</v>
      </c>
      <c r="O41" s="203">
        <f>N41*K41/365</f>
        <v>898191780.82191777</v>
      </c>
    </row>
    <row r="42" spans="8:15" x14ac:dyDescent="0.3">
      <c r="H42" s="191" t="s">
        <v>200</v>
      </c>
      <c r="I42" s="200">
        <v>44378</v>
      </c>
      <c r="J42" s="200">
        <f>J36</f>
        <v>45838</v>
      </c>
      <c r="K42" s="201">
        <f t="shared" si="6"/>
        <v>1460</v>
      </c>
      <c r="L42" s="202">
        <v>190000000</v>
      </c>
      <c r="M42" s="203">
        <f t="shared" si="7"/>
        <v>760000000</v>
      </c>
      <c r="N42" s="202">
        <v>190000000</v>
      </c>
      <c r="O42" s="203">
        <f>N42*K42/365</f>
        <v>760000000</v>
      </c>
    </row>
    <row r="43" spans="8:15" x14ac:dyDescent="0.3">
      <c r="H43" s="191" t="s">
        <v>203</v>
      </c>
      <c r="I43" s="200">
        <v>44378</v>
      </c>
      <c r="J43" s="200">
        <f>J36</f>
        <v>45838</v>
      </c>
      <c r="K43" s="201">
        <f t="shared" si="6"/>
        <v>1460</v>
      </c>
      <c r="L43" s="202">
        <v>287500000</v>
      </c>
      <c r="M43" s="203">
        <f>-L43*K43/365</f>
        <v>-1150000000</v>
      </c>
      <c r="N43" s="202">
        <f>1501500000/4</f>
        <v>375375000</v>
      </c>
      <c r="O43" s="203">
        <f>-N43*K43/365</f>
        <v>-1501500000</v>
      </c>
    </row>
    <row r="44" spans="8:15" x14ac:dyDescent="0.3">
      <c r="H44" s="191" t="s">
        <v>204</v>
      </c>
      <c r="I44" s="200">
        <v>44378</v>
      </c>
      <c r="J44" s="200">
        <v>45220</v>
      </c>
      <c r="K44" s="201">
        <f t="shared" si="6"/>
        <v>842</v>
      </c>
      <c r="L44" s="202">
        <v>57760000</v>
      </c>
      <c r="M44" s="203">
        <f t="shared" ref="M44:M45" si="8">-L44*K44/365</f>
        <v>-133243616.43835616</v>
      </c>
      <c r="N44" s="202">
        <v>57760000</v>
      </c>
      <c r="O44" s="203">
        <f>-N44*K44/365</f>
        <v>-133243616.43835616</v>
      </c>
    </row>
    <row r="45" spans="8:15" x14ac:dyDescent="0.3">
      <c r="H45" s="191" t="s">
        <v>204</v>
      </c>
      <c r="I45" s="200">
        <v>45221</v>
      </c>
      <c r="J45" s="200">
        <v>45838</v>
      </c>
      <c r="K45" s="201">
        <f t="shared" si="6"/>
        <v>617</v>
      </c>
      <c r="L45" s="202">
        <v>50760000</v>
      </c>
      <c r="M45" s="203">
        <f t="shared" si="8"/>
        <v>-85805260.273972601</v>
      </c>
      <c r="N45" s="202">
        <v>50760000</v>
      </c>
      <c r="O45" s="203">
        <f>-N45*K45/365</f>
        <v>-85805260.273972601</v>
      </c>
    </row>
    <row r="46" spans="8:15" x14ac:dyDescent="0.3">
      <c r="H46" s="191" t="s">
        <v>205</v>
      </c>
      <c r="I46" s="191"/>
      <c r="J46" s="191"/>
      <c r="K46" s="191"/>
      <c r="L46" s="204">
        <v>100000000</v>
      </c>
      <c r="M46" s="203">
        <f>-L46</f>
        <v>-100000000</v>
      </c>
      <c r="N46" s="204">
        <v>100000000</v>
      </c>
      <c r="O46" s="203">
        <f>-N46</f>
        <v>-100000000</v>
      </c>
    </row>
    <row r="47" spans="8:15" x14ac:dyDescent="0.3">
      <c r="I47" s="191"/>
      <c r="J47" s="191"/>
      <c r="K47" s="191"/>
      <c r="L47" s="204"/>
      <c r="M47" s="205"/>
      <c r="N47" s="202"/>
      <c r="O47" s="205">
        <f>-N47</f>
        <v>0</v>
      </c>
    </row>
    <row r="48" spans="8:15" x14ac:dyDescent="0.3">
      <c r="H48" s="191"/>
      <c r="I48" s="191"/>
      <c r="J48" s="191"/>
      <c r="K48" s="191"/>
      <c r="L48" s="207" t="s">
        <v>206</v>
      </c>
      <c r="M48" s="203">
        <f>SUM(M40:M47)</f>
        <v>551890345.20547926</v>
      </c>
      <c r="N48" s="191"/>
      <c r="O48" s="203">
        <f>SUM(O40:O47)</f>
        <v>200390345.20547926</v>
      </c>
    </row>
    <row r="49" spans="8:15" x14ac:dyDescent="0.3">
      <c r="H49" s="191"/>
      <c r="I49" s="191"/>
      <c r="J49" s="191"/>
      <c r="K49" s="191"/>
      <c r="L49" s="207" t="s">
        <v>208</v>
      </c>
      <c r="M49" s="208" t="s">
        <v>207</v>
      </c>
      <c r="N49" s="191"/>
      <c r="O49" s="208" t="s">
        <v>207</v>
      </c>
    </row>
    <row r="50" spans="8:15" x14ac:dyDescent="0.3">
      <c r="H50" s="191"/>
      <c r="I50" s="191"/>
      <c r="J50" s="191"/>
      <c r="K50" s="191"/>
      <c r="L50" s="207" t="s">
        <v>209</v>
      </c>
      <c r="M50" s="209">
        <v>3828229698.6054649</v>
      </c>
      <c r="N50" s="191"/>
      <c r="O50" s="209">
        <f>'[4]IRR Expand'!S97</f>
        <v>2888025782.0684786</v>
      </c>
    </row>
    <row r="51" spans="8:15" x14ac:dyDescent="0.3">
      <c r="H51" s="191"/>
      <c r="I51" s="191"/>
      <c r="J51" s="191"/>
      <c r="K51" s="191"/>
      <c r="L51" s="207" t="s">
        <v>210</v>
      </c>
      <c r="M51" s="210">
        <v>0.46</v>
      </c>
      <c r="N51" s="191"/>
      <c r="O51" s="211">
        <f>'[4]IRR Expand'!P30</f>
        <v>8.1369387203252153E-2</v>
      </c>
    </row>
    <row r="52" spans="8:15" x14ac:dyDescent="0.3">
      <c r="H52" s="191"/>
      <c r="I52" s="191"/>
      <c r="J52" s="191"/>
      <c r="K52" s="191"/>
      <c r="L52" s="207" t="s">
        <v>211</v>
      </c>
      <c r="M52" s="209">
        <v>1181857848.2474513</v>
      </c>
      <c r="N52" s="191"/>
      <c r="O52" s="209">
        <f>'[4]IRR Expand'!S104</f>
        <v>234857298.30245119</v>
      </c>
    </row>
    <row r="54" spans="8:15" x14ac:dyDescent="0.3">
      <c r="N54" s="212">
        <f>N43-L43</f>
        <v>87875000</v>
      </c>
    </row>
    <row r="55" spans="8:15" x14ac:dyDescent="0.3">
      <c r="N55" s="192">
        <f>N54/L43</f>
        <v>0.3056521739130435</v>
      </c>
    </row>
  </sheetData>
  <mergeCells count="4">
    <mergeCell ref="A2:F2"/>
    <mergeCell ref="H31:M31"/>
    <mergeCell ref="L39:M39"/>
    <mergeCell ref="N39:O39"/>
  </mergeCells>
  <pageMargins left="0.35" right="0.16" top="0.9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Summary</vt:lpstr>
      <vt:lpstr>IRR</vt:lpstr>
      <vt:lpstr>IRR (Share Rev)</vt:lpstr>
      <vt:lpstr>PARAMETER</vt:lpstr>
      <vt:lpstr>Summary BR</vt:lpstr>
      <vt:lpstr>Analisa</vt:lpstr>
      <vt:lpstr>Analisa!Print_Area</vt:lpstr>
      <vt:lpstr>IRR!Print_Area</vt:lpstr>
      <vt:lpstr>'IRR (Share Rev)'!Print_Area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Subianto Kasmun</cp:lastModifiedBy>
  <cp:lastPrinted>2025-07-15T03:25:39Z</cp:lastPrinted>
  <dcterms:created xsi:type="dcterms:W3CDTF">2020-06-08T08:40:20Z</dcterms:created>
  <dcterms:modified xsi:type="dcterms:W3CDTF">2025-07-15T03:33:46Z</dcterms:modified>
</cp:coreProperties>
</file>