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BUDGET\IRR\GPON\IRR Apt. Elpis\"/>
    </mc:Choice>
  </mc:AlternateContent>
  <xr:revisionPtr revIDLastSave="0" documentId="13_ncr:1_{3670439F-6334-42C2-9710-5CF5C37DCC3F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Summary" sheetId="6" r:id="rId1"/>
    <sheet name="IRR" sheetId="1" state="hidden" r:id="rId2"/>
    <sheet name="Rev" sheetId="11" state="hidden" r:id="rId3"/>
    <sheet name="IRR (2)" sheetId="14" r:id="rId4"/>
    <sheet name="PARAMETER" sheetId="2" r:id="rId5"/>
    <sheet name="Apt Elpis " sheetId="13" r:id="rId6"/>
  </sheets>
  <externalReferences>
    <externalReference r:id="rId7"/>
  </externalReferences>
  <definedNames>
    <definedName name="jk">#REF!</definedName>
    <definedName name="_xlnm.Print_Area" localSheetId="5">'Apt Elpis '!$A$2:$C$19</definedName>
    <definedName name="_xlnm.Print_Area" localSheetId="1">IRR!$A$2:$L$55</definedName>
    <definedName name="_xlnm.Print_Area" localSheetId="3">'IRR (2)'!$B$1:$L$55</definedName>
    <definedName name="_xlnm.Print_Area" localSheetId="0">Summary!$B$1:$N$33</definedName>
    <definedName name="years_contract">[1]Kerlink!$D$5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1" i="14" l="1"/>
  <c r="M11" i="6"/>
  <c r="M10" i="6"/>
  <c r="B3" i="2"/>
  <c r="B6" i="2" s="1"/>
  <c r="G34" i="14" s="1"/>
  <c r="F12" i="14"/>
  <c r="G20" i="14"/>
  <c r="G21" i="14"/>
  <c r="G24" i="14" s="1"/>
  <c r="H20" i="14"/>
  <c r="G26" i="14"/>
  <c r="G27" i="14"/>
  <c r="H25" i="14"/>
  <c r="G25" i="14"/>
  <c r="I25" i="14"/>
  <c r="J25" i="14"/>
  <c r="G13" i="14"/>
  <c r="H13" i="14"/>
  <c r="I13" i="14"/>
  <c r="I39" i="14" s="1"/>
  <c r="J13" i="14"/>
  <c r="M6" i="6"/>
  <c r="K25" i="14"/>
  <c r="G49" i="14"/>
  <c r="H28" i="14"/>
  <c r="P19" i="14"/>
  <c r="H15" i="14"/>
  <c r="I15" i="14"/>
  <c r="J15" i="14"/>
  <c r="K15" i="14"/>
  <c r="K13" i="14"/>
  <c r="K39" i="14" s="1"/>
  <c r="J53" i="14"/>
  <c r="K53" i="14"/>
  <c r="G12" i="14"/>
  <c r="F8" i="14"/>
  <c r="L1" i="14"/>
  <c r="G24" i="1"/>
  <c r="G29" i="1"/>
  <c r="H24" i="1"/>
  <c r="H20" i="1"/>
  <c r="G20" i="1"/>
  <c r="K24" i="1"/>
  <c r="I8" i="2"/>
  <c r="J8" i="2"/>
  <c r="K8" i="2"/>
  <c r="L8" i="2"/>
  <c r="M8" i="2"/>
  <c r="N8" i="2"/>
  <c r="O8" i="2"/>
  <c r="P8" i="2"/>
  <c r="I32" i="1"/>
  <c r="G32" i="1"/>
  <c r="K29" i="1"/>
  <c r="I29" i="1"/>
  <c r="G27" i="1"/>
  <c r="I26" i="1"/>
  <c r="H26" i="1"/>
  <c r="G26" i="1"/>
  <c r="F39" i="1"/>
  <c r="I20" i="1"/>
  <c r="J20" i="1"/>
  <c r="K20" i="1"/>
  <c r="G50" i="1"/>
  <c r="G55" i="1"/>
  <c r="H13" i="1"/>
  <c r="H39" i="1"/>
  <c r="I13" i="1"/>
  <c r="I52" i="1"/>
  <c r="J52" i="1"/>
  <c r="K52" i="1"/>
  <c r="J13" i="1"/>
  <c r="J39" i="1"/>
  <c r="K13" i="1"/>
  <c r="K39" i="1"/>
  <c r="G13" i="1"/>
  <c r="G12" i="1"/>
  <c r="J39" i="14"/>
  <c r="I28" i="14"/>
  <c r="J28" i="14"/>
  <c r="K28" i="14"/>
  <c r="P17" i="14"/>
  <c r="K54" i="1"/>
  <c r="H51" i="1"/>
  <c r="J53" i="1"/>
  <c r="K53" i="1"/>
  <c r="I39" i="1"/>
  <c r="L28" i="14"/>
  <c r="P20" i="14"/>
  <c r="I51" i="1"/>
  <c r="J51" i="1"/>
  <c r="K51" i="1"/>
  <c r="H28" i="1"/>
  <c r="I28" i="1"/>
  <c r="F8" i="1"/>
  <c r="H50" i="1"/>
  <c r="H55" i="1"/>
  <c r="D5" i="11"/>
  <c r="L1" i="1"/>
  <c r="L25" i="1"/>
  <c r="H15" i="1"/>
  <c r="I15" i="1"/>
  <c r="J15" i="1"/>
  <c r="K15" i="1"/>
  <c r="I6" i="2"/>
  <c r="P17" i="1"/>
  <c r="I14" i="2"/>
  <c r="F13" i="2"/>
  <c r="J13" i="2"/>
  <c r="P19" i="1"/>
  <c r="I17" i="2"/>
  <c r="F17" i="2"/>
  <c r="I16" i="2"/>
  <c r="J16" i="2"/>
  <c r="H16" i="2"/>
  <c r="F16" i="2"/>
  <c r="G15" i="2"/>
  <c r="J15" i="2"/>
  <c r="F14" i="2"/>
  <c r="J14" i="2"/>
  <c r="D13" i="2"/>
  <c r="F40" i="1"/>
  <c r="G49" i="1"/>
  <c r="J17" i="2"/>
  <c r="J18" i="2"/>
  <c r="K18" i="2"/>
  <c r="F41" i="1"/>
  <c r="J28" i="1"/>
  <c r="K28" i="1"/>
  <c r="L28" i="1"/>
  <c r="I21" i="1"/>
  <c r="I24" i="1"/>
  <c r="I50" i="1"/>
  <c r="I55" i="1"/>
  <c r="H32" i="1"/>
  <c r="H21" i="1"/>
  <c r="P20" i="1"/>
  <c r="G21" i="1"/>
  <c r="J21" i="1"/>
  <c r="J50" i="1"/>
  <c r="J55" i="1"/>
  <c r="I27" i="1"/>
  <c r="J27" i="1"/>
  <c r="J24" i="1"/>
  <c r="P18" i="1"/>
  <c r="H27" i="1"/>
  <c r="H29" i="1"/>
  <c r="H30" i="1"/>
  <c r="H33" i="1"/>
  <c r="K21" i="1"/>
  <c r="L20" i="1"/>
  <c r="J26" i="1"/>
  <c r="G30" i="1"/>
  <c r="J29" i="1"/>
  <c r="J30" i="1"/>
  <c r="K50" i="1"/>
  <c r="J32" i="1"/>
  <c r="I30" i="1"/>
  <c r="I31" i="1"/>
  <c r="K55" i="1"/>
  <c r="K32" i="1"/>
  <c r="L32" i="1"/>
  <c r="J33" i="1"/>
  <c r="L55" i="1"/>
  <c r="H31" i="1"/>
  <c r="K27" i="1"/>
  <c r="L27" i="1"/>
  <c r="K26" i="1"/>
  <c r="L26" i="1"/>
  <c r="L21" i="1"/>
  <c r="G33" i="1"/>
  <c r="G31" i="1"/>
  <c r="I33" i="1"/>
  <c r="J31" i="1"/>
  <c r="K30" i="1"/>
  <c r="L24" i="1"/>
  <c r="L29" i="1"/>
  <c r="L30" i="1"/>
  <c r="K31" i="1"/>
  <c r="K33" i="1"/>
  <c r="L33" i="1"/>
  <c r="L31" i="1"/>
  <c r="F46" i="1"/>
  <c r="Q24" i="1"/>
  <c r="G34" i="1" l="1"/>
  <c r="B8" i="2"/>
  <c r="B5" i="2"/>
  <c r="C3" i="2" s="1"/>
  <c r="K54" i="14"/>
  <c r="I52" i="14"/>
  <c r="J52" i="14" s="1"/>
  <c r="K52" i="14" s="1"/>
  <c r="L25" i="14"/>
  <c r="M12" i="6" s="1"/>
  <c r="H39" i="14"/>
  <c r="I51" i="14"/>
  <c r="J51" i="14" s="1"/>
  <c r="K51" i="14" s="1"/>
  <c r="P18" i="14"/>
  <c r="G29" i="14"/>
  <c r="G30" i="14" s="1"/>
  <c r="G31" i="14" s="1"/>
  <c r="I20" i="14"/>
  <c r="F39" i="14"/>
  <c r="F40" i="14" s="1"/>
  <c r="H21" i="14"/>
  <c r="F41" i="14"/>
  <c r="G50" i="14"/>
  <c r="D3" i="2" l="1"/>
  <c r="D6" i="2"/>
  <c r="C6" i="2"/>
  <c r="G35" i="1"/>
  <c r="H26" i="14"/>
  <c r="H24" i="14"/>
  <c r="H27" i="14"/>
  <c r="I21" i="14"/>
  <c r="J20" i="14"/>
  <c r="H50" i="14"/>
  <c r="G55" i="14"/>
  <c r="G36" i="1" l="1"/>
  <c r="I34" i="1"/>
  <c r="I35" i="1" s="1"/>
  <c r="I34" i="14"/>
  <c r="D8" i="2"/>
  <c r="H34" i="1"/>
  <c r="H34" i="14"/>
  <c r="C8" i="2"/>
  <c r="E3" i="2"/>
  <c r="E6" i="2"/>
  <c r="I26" i="14"/>
  <c r="I24" i="14"/>
  <c r="I27" i="14"/>
  <c r="J21" i="14"/>
  <c r="K20" i="14"/>
  <c r="K21" i="14" s="1"/>
  <c r="L21" i="14" s="1"/>
  <c r="H29" i="14"/>
  <c r="H30" i="14" s="1"/>
  <c r="H31" i="14" s="1"/>
  <c r="G32" i="14"/>
  <c r="I50" i="14"/>
  <c r="H55" i="14"/>
  <c r="H32" i="14" s="1"/>
  <c r="J34" i="14" l="1"/>
  <c r="J34" i="1"/>
  <c r="J35" i="1" s="1"/>
  <c r="E8" i="2"/>
  <c r="F3" i="2"/>
  <c r="F6" i="2"/>
  <c r="H35" i="1"/>
  <c r="I36" i="1"/>
  <c r="I37" i="1" s="1"/>
  <c r="I40" i="1" s="1"/>
  <c r="G37" i="1"/>
  <c r="H33" i="14"/>
  <c r="H35" i="14" s="1"/>
  <c r="H36" i="14" s="1"/>
  <c r="H37" i="14" s="1"/>
  <c r="H40" i="14" s="1"/>
  <c r="M14" i="6"/>
  <c r="L20" i="14"/>
  <c r="K26" i="14"/>
  <c r="K24" i="14"/>
  <c r="K27" i="14"/>
  <c r="J26" i="14"/>
  <c r="L26" i="14" s="1"/>
  <c r="J24" i="14"/>
  <c r="J27" i="14"/>
  <c r="I29" i="14"/>
  <c r="I30" i="14" s="1"/>
  <c r="I31" i="14" s="1"/>
  <c r="J50" i="14"/>
  <c r="I55" i="14"/>
  <c r="I32" i="14" s="1"/>
  <c r="I33" i="14" s="1"/>
  <c r="I35" i="14" s="1"/>
  <c r="G33" i="14"/>
  <c r="G35" i="14" s="1"/>
  <c r="G40" i="1" l="1"/>
  <c r="H36" i="1"/>
  <c r="H37" i="1" s="1"/>
  <c r="H40" i="1" s="1"/>
  <c r="K34" i="1"/>
  <c r="F8" i="2"/>
  <c r="K34" i="14"/>
  <c r="L34" i="14" s="1"/>
  <c r="J36" i="1"/>
  <c r="J37" i="1" s="1"/>
  <c r="J40" i="1" s="1"/>
  <c r="G3" i="2"/>
  <c r="H6" i="2" s="1"/>
  <c r="H8" i="2" s="1"/>
  <c r="G6" i="2"/>
  <c r="G8" i="2" s="1"/>
  <c r="L27" i="14"/>
  <c r="M13" i="6" s="1"/>
  <c r="K29" i="14"/>
  <c r="K30" i="14" s="1"/>
  <c r="K31" i="14" s="1"/>
  <c r="J29" i="14"/>
  <c r="J30" i="14" s="1"/>
  <c r="J31" i="14" s="1"/>
  <c r="L24" i="14"/>
  <c r="I36" i="14"/>
  <c r="I37" i="14" s="1"/>
  <c r="I40" i="14" s="1"/>
  <c r="J55" i="14"/>
  <c r="K50" i="14"/>
  <c r="K55" i="14" s="1"/>
  <c r="K32" i="14" s="1"/>
  <c r="G36" i="14"/>
  <c r="K35" i="1" l="1"/>
  <c r="L34" i="1"/>
  <c r="G41" i="1"/>
  <c r="K33" i="14"/>
  <c r="K35" i="14" s="1"/>
  <c r="K36" i="14" s="1"/>
  <c r="K37" i="14" s="1"/>
  <c r="K40" i="14" s="1"/>
  <c r="L29" i="14"/>
  <c r="L30" i="14" s="1"/>
  <c r="L31" i="14" s="1"/>
  <c r="F46" i="14" s="1"/>
  <c r="G37" i="14"/>
  <c r="J32" i="14"/>
  <c r="K36" i="1" l="1"/>
  <c r="L36" i="1" s="1"/>
  <c r="K37" i="1"/>
  <c r="L35" i="1"/>
  <c r="L37" i="1" s="1"/>
  <c r="G42" i="1"/>
  <c r="H41" i="1"/>
  <c r="M17" i="6"/>
  <c r="Q24" i="14"/>
  <c r="G40" i="14"/>
  <c r="J33" i="14"/>
  <c r="J35" i="14" s="1"/>
  <c r="L32" i="14"/>
  <c r="L33" i="14" s="1"/>
  <c r="I41" i="1" l="1"/>
  <c r="I42" i="1" s="1"/>
  <c r="H42" i="1"/>
  <c r="K40" i="1"/>
  <c r="F44" i="1" a="1"/>
  <c r="F44" i="1" s="1"/>
  <c r="J36" i="14"/>
  <c r="L36" i="14" s="1"/>
  <c r="L35" i="14"/>
  <c r="G41" i="14"/>
  <c r="F45" i="1" l="1"/>
  <c r="Q23" i="1" s="1"/>
  <c r="L40" i="1"/>
  <c r="F43" i="1"/>
  <c r="Q22" i="1" s="1"/>
  <c r="J41" i="1"/>
  <c r="J42" i="1"/>
  <c r="H41" i="14"/>
  <c r="H42" i="14" s="1"/>
  <c r="G42" i="14"/>
  <c r="L37" i="14"/>
  <c r="J37" i="14"/>
  <c r="K41" i="1" l="1"/>
  <c r="K42" i="1" s="1"/>
  <c r="F47" i="1" s="1"/>
  <c r="Q25" i="1" s="1"/>
  <c r="J40" i="14"/>
  <c r="F44" i="14" a="1"/>
  <c r="F44" i="14" s="1"/>
  <c r="I41" i="14"/>
  <c r="I42" i="14"/>
  <c r="J41" i="14" l="1"/>
  <c r="J42" i="14" s="1"/>
  <c r="F43" i="14"/>
  <c r="F45" i="14"/>
  <c r="L40" i="14"/>
  <c r="Q23" i="14" l="1"/>
  <c r="M16" i="6"/>
  <c r="Q22" i="14"/>
  <c r="M15" i="6"/>
  <c r="K41" i="14"/>
  <c r="K42" i="14" s="1"/>
  <c r="F47" i="14" s="1"/>
  <c r="Q25" i="14" l="1"/>
  <c r="M1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Cosmas Christianto Widyawan</author>
  </authors>
  <commentList>
    <comment ref="E24" authorId="0" shapeId="0" xr:uid="{9664BE48-D201-45AF-B8C6-85433CC7E9D5}">
      <text>
        <r>
          <rPr>
            <b/>
            <sz val="9"/>
            <color indexed="81"/>
            <rFont val="Tahoma"/>
            <family val="2"/>
          </rPr>
          <t>Cosmas Christianto Widyawan:</t>
        </r>
        <r>
          <rPr>
            <sz val="9"/>
            <color indexed="81"/>
            <rFont val="Tahoma"/>
            <family val="2"/>
          </rPr>
          <t xml:space="preserve">
Revenue share change from IBS 70%: BM 30% to IBS 80%: BM 20% with add IDR 50,000,000 in year 1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Cosmas Christianto Widyawan</author>
  </authors>
  <commentList>
    <comment ref="E24" authorId="0" shapeId="0" xr:uid="{719225DF-83C6-4499-9925-569B5CE132C0}">
      <text>
        <r>
          <rPr>
            <b/>
            <sz val="9"/>
            <color indexed="81"/>
            <rFont val="Tahoma"/>
            <family val="2"/>
          </rPr>
          <t>Cosmas Christianto Widyawan:</t>
        </r>
        <r>
          <rPr>
            <sz val="9"/>
            <color indexed="81"/>
            <rFont val="Tahoma"/>
            <family val="2"/>
          </rPr>
          <t xml:space="preserve">
Revenue share change from IBS 70%: BM 30% to IBS 80%: BM 20% with add IDR 50,000,000 in year 1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12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<sst xmlns="http://schemas.openxmlformats.org/spreadsheetml/2006/main" count="300" uniqueCount="190">
  <si>
    <t>General</t>
  </si>
  <si>
    <t>Tax Rate</t>
  </si>
  <si>
    <t>SG&amp;A</t>
  </si>
  <si>
    <t>from Revenues</t>
  </si>
  <si>
    <t>BHPUSO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</si>
  <si>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</si>
  <si>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</si>
  <si>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</si>
  <si>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</si>
  <si>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</si>
  <si>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</si>
  <si>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</si>
  <si>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</si>
  <si>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</si>
  <si>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</si>
  <si>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</si>
  <si>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</si>
  <si>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</si>
  <si>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</si>
  <si>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</si>
  <si>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</si>
  <si>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</si>
  <si>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</si>
  <si>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</si>
  <si>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</si>
  <si>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</si>
  <si>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</si>
  <si>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</si>
  <si>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</si>
  <si>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</si>
  <si>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</si>
  <si>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</si>
  <si>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</si>
  <si>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</si>
  <si>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</si>
  <si>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Interest Rate</t>
  </si>
  <si>
    <t>Year 6</t>
  </si>
  <si>
    <t>Year 7</t>
  </si>
  <si>
    <t>Year 8</t>
  </si>
  <si>
    <t>Year 9</t>
  </si>
  <si>
    <t>Year 10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</si>
  <si>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</si>
  <si>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</si>
  <si>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</si>
  <si>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</si>
  <si>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</si>
  <si>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</si>
  <si>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</si>
  <si>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</si>
  <si>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</si>
  <si>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</si>
  <si>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</si>
  <si>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</si>
  <si>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</si>
  <si>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</si>
  <si>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</si>
  <si>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</si>
  <si>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</si>
  <si>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</si>
  <si>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</si>
  <si>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</si>
  <si>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</si>
  <si>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</si>
  <si>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</si>
  <si>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</si>
  <si>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</si>
  <si>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</si>
  <si>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</si>
  <si>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</si>
  <si>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</si>
  <si>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</si>
  <si>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</si>
  <si>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Price Adjustment after 5 years</t>
  </si>
  <si>
    <t>Revenue</t>
  </si>
  <si>
    <t>Target Achieved by Commercial:</t>
  </si>
  <si>
    <t xml:space="preserve">Tanggal P&amp;L:  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</si>
  <si>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</si>
  <si>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</si>
  <si>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</si>
  <si>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</si>
  <si>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</si>
  <si>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</si>
  <si>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</si>
  <si>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</si>
  <si>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</si>
  <si>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</si>
  <si>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</si>
  <si>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</si>
  <si>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</si>
  <si>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</si>
  <si>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</si>
  <si>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</si>
  <si>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</si>
  <si>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</si>
  <si>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</si>
  <si>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</si>
  <si>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</si>
  <si>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</si>
  <si>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</si>
  <si>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</si>
  <si>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</si>
  <si>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</si>
  <si>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</si>
  <si>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</si>
  <si>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</si>
  <si>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</si>
  <si>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</si>
  <si>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</si>
  <si>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</si>
  <si>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</si>
  <si>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</si>
  <si>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</si>
  <si>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</si>
  <si>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</si>
  <si>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</si>
  <si>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</si>
  <si>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</si>
  <si>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 xml:space="preserve">: </t>
  </si>
  <si>
    <t>Monthly Charge</t>
  </si>
  <si>
    <t>renewal</t>
  </si>
  <si>
    <t>Total Revenues</t>
  </si>
  <si>
    <t>No</t>
  </si>
  <si>
    <t>Nama Bulan</t>
  </si>
  <si>
    <t xml:space="preserve">TOTAL </t>
  </si>
  <si>
    <t>Share to BM</t>
  </si>
  <si>
    <t>Jasa + ONT</t>
  </si>
  <si>
    <t>Opex</t>
  </si>
  <si>
    <t>Average price of subs</t>
  </si>
  <si>
    <t>Cash flow</t>
  </si>
  <si>
    <t>amount</t>
  </si>
  <si>
    <t>Desc</t>
  </si>
  <si>
    <t xml:space="preserve">Capex </t>
  </si>
  <si>
    <t>Amount</t>
  </si>
  <si>
    <t>SUMMARY REVIEW</t>
  </si>
  <si>
    <t xml:space="preserve">No. </t>
  </si>
  <si>
    <t>Keterangan</t>
  </si>
  <si>
    <t>Scope Of Lease</t>
  </si>
  <si>
    <t>Year2</t>
  </si>
  <si>
    <t>Year3</t>
  </si>
  <si>
    <t>Year4</t>
  </si>
  <si>
    <t>60% Rev share to ITC</t>
  </si>
  <si>
    <t xml:space="preserve">Apartement </t>
  </si>
  <si>
    <t>BHP</t>
  </si>
  <si>
    <t>from revenues</t>
  </si>
  <si>
    <t>Fixed operational cost</t>
  </si>
  <si>
    <t>Total COGS Rent</t>
  </si>
  <si>
    <t>Total COGS Other</t>
  </si>
  <si>
    <t>NO</t>
  </si>
  <si>
    <t>APARTEMEN ELPIS</t>
  </si>
  <si>
    <t>Aptement Elpis</t>
  </si>
  <si>
    <t>Jakarta Pusat</t>
  </si>
  <si>
    <t xml:space="preserve">Nama Site                   </t>
  </si>
  <si>
    <t xml:space="preserve">: Apartement Elpis Kemayoran </t>
  </si>
  <si>
    <t xml:space="preserve">Nama Pemilik           </t>
  </si>
  <si>
    <t xml:space="preserve">:  </t>
  </si>
  <si>
    <t xml:space="preserve">Alamat Pemilik       </t>
  </si>
  <si>
    <t xml:space="preserve">:  Jl. Gunung Sahari Dalam XI No.23 Jakata Pusat </t>
  </si>
  <si>
    <t xml:space="preserve">Telp                           </t>
  </si>
  <si>
    <t>New Site</t>
  </si>
  <si>
    <t>Openet</t>
  </si>
  <si>
    <t>Obyek</t>
  </si>
  <si>
    <t xml:space="preserve">Apartemen, MMR </t>
  </si>
  <si>
    <t xml:space="preserve">Occupancy </t>
  </si>
  <si>
    <t>Masa Sewa 5 Tahun</t>
  </si>
  <si>
    <t xml:space="preserve">Mei 2025 - Juni 2030 </t>
  </si>
  <si>
    <t>Unit</t>
  </si>
  <si>
    <t>Tenant</t>
  </si>
  <si>
    <t>Exsisitng Mnc play (15 Mbps)</t>
  </si>
  <si>
    <t>Add Mora (50 Mbps)</t>
  </si>
  <si>
    <t>ROIC</t>
  </si>
  <si>
    <t>Refer to Mora Price</t>
  </si>
  <si>
    <t>Occupancy Rate</t>
  </si>
  <si>
    <t>Initial charge Tahun pertama</t>
  </si>
  <si>
    <t>ISP Share</t>
  </si>
  <si>
    <t>Target Penetrasi</t>
  </si>
  <si>
    <t>Revenues IBS - ISP (50%-50%)</t>
  </si>
  <si>
    <t>Total CAPEX Vertikal</t>
  </si>
  <si>
    <t>Total CAPEX Horisontal/unit</t>
  </si>
  <si>
    <t>Cost Infrastruktur Openet (Full 100%)</t>
  </si>
  <si>
    <t>ONT Mora/ unit</t>
  </si>
  <si>
    <t>Unit Apt</t>
  </si>
  <si>
    <t>Asumsi ISP Moratel; OLT dari Mora , ONT dari IBS</t>
  </si>
  <si>
    <t>0001/IRR/Open/VI/2025</t>
  </si>
  <si>
    <t>New Building</t>
  </si>
  <si>
    <t xml:space="preserve">Okupansi </t>
  </si>
  <si>
    <t>Capex Vertikal</t>
  </si>
  <si>
    <t>Capex Horisontal/tarikan</t>
  </si>
  <si>
    <t>Total Capex 50% reach (4thn)</t>
  </si>
  <si>
    <t>Total COGS ONT Mora</t>
  </si>
  <si>
    <t>Vito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</si>
</sst>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(&quot;Rp&quot;* #,##0_);_(&quot;Rp&quot;* \(#,##0\);_(&quot;Rp&quot;* &quot;-&quot;_);_(@_)"/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(* #,##0_);_(* \(#,##0\);_(* &quot;-&quot;??_);_(@_)"/>
    <numFmt numFmtId="167" formatCode="_(* #,##0.0_);_(* \(#,##0.0\);_(* &quot;-&quot;??_);_(@_)"/>
    <numFmt numFmtId="168" formatCode="_-* #,##0.0_-;\-* #,##0.0_-;_-* &quot;-&quot;_-;_-@_-"/>
    <numFmt numFmtId="169" formatCode="_(&quot;$&quot;* #,##0.00_);_(&quot;$&quot;* \(#,##0.00\);_(&quot;$&quot;* &quot;-&quot;??_);_(@_)"/>
    <numFmt numFmtId="170" formatCode="0.0%"/>
    <numFmt numFmtId="171" formatCode="&quot;Rp&quot;#,##0"/>
  </numFmts>
  <fonts count="4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rgb="FF000000"/>
      <name val="Calibri"/>
      <family val="2"/>
    </font>
    <font>
      <sz val="10"/>
      <color theme="1"/>
      <name val="Times New Roman"/>
      <family val="1"/>
    </font>
    <font>
      <b/>
      <sz val="12"/>
      <color rgb="FF000000"/>
      <name val="Calibri"/>
      <family val="2"/>
    </font>
    <font>
      <b/>
      <i/>
      <sz val="11"/>
      <color rgb="FF000000"/>
      <name val="Calibri"/>
      <family val="2"/>
    </font>
    <font>
      <b/>
      <i/>
      <sz val="14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00B0F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6">
    <xf numFmtId="0" fontId="0" fillId="0" borderId="0"/>
    <xf numFmtId="43" fontId="10" fillId="0" borderId="0" applyFont="0" applyFill="0" applyBorder="0" applyAlignment="0" applyProtection="0"/>
    <xf numFmtId="16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0" fontId="25" fillId="0" borderId="0"/>
    <xf numFmtId="43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41" fontId="1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1" fillId="0" borderId="0"/>
    <xf numFmtId="0" fontId="31" fillId="0" borderId="0"/>
    <xf numFmtId="43" fontId="31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5" fillId="0" borderId="0"/>
    <xf numFmtId="0" fontId="4" fillId="0" borderId="0"/>
    <xf numFmtId="169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169" fontId="3" fillId="0" borderId="0" applyFont="0" applyFill="0" applyBorder="0" applyAlignment="0" applyProtection="0"/>
    <xf numFmtId="0" fontId="3" fillId="0" borderId="0"/>
    <xf numFmtId="42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5" fillId="0" borderId="0"/>
    <xf numFmtId="42" fontId="25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</cellStyleXfs>
  <cellXfs count="244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13" fillId="0" borderId="0" xfId="0" applyFont="1"/>
    <xf numFmtId="0" fontId="0" fillId="3" borderId="0" xfId="0" applyFill="1"/>
    <xf numFmtId="9" fontId="14" fillId="0" borderId="0" xfId="2" applyNumberFormat="1" applyFont="1"/>
    <xf numFmtId="10" fontId="14" fillId="0" borderId="0" xfId="2" applyNumberFormat="1" applyFont="1"/>
    <xf numFmtId="0" fontId="0" fillId="0" borderId="1" xfId="0" applyBorder="1"/>
    <xf numFmtId="0" fontId="0" fillId="0" borderId="0" xfId="0" applyAlignment="1">
      <alignment horizontal="center" vertical="center"/>
    </xf>
    <xf numFmtId="164" fontId="14" fillId="0" borderId="0" xfId="0" applyNumberFormat="1" applyFont="1" applyBorder="1"/>
    <xf numFmtId="0" fontId="12" fillId="0" borderId="1" xfId="0" applyFont="1" applyBorder="1"/>
    <xf numFmtId="164" fontId="0" fillId="0" borderId="0" xfId="0" applyNumberFormat="1" applyAlignment="1">
      <alignment vertical="center"/>
    </xf>
    <xf numFmtId="164" fontId="0" fillId="0" borderId="0" xfId="0" applyNumberFormat="1"/>
    <xf numFmtId="0" fontId="0" fillId="0" borderId="2" xfId="0" applyBorder="1"/>
    <xf numFmtId="164" fontId="0" fillId="0" borderId="2" xfId="0" applyNumberFormat="1" applyBorder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/>
    </xf>
    <xf numFmtId="164" fontId="0" fillId="0" borderId="2" xfId="2" applyFont="1" applyBorder="1" applyAlignment="1">
      <alignment vertical="center"/>
    </xf>
    <xf numFmtId="164" fontId="12" fillId="0" borderId="0" xfId="0" applyNumberFormat="1" applyFont="1" applyAlignment="1">
      <alignment vertical="center"/>
    </xf>
    <xf numFmtId="0" fontId="20" fillId="0" borderId="0" xfId="0" applyFont="1"/>
    <xf numFmtId="0" fontId="21" fillId="0" borderId="0" xfId="0" applyFont="1"/>
    <xf numFmtId="9" fontId="20" fillId="0" borderId="0" xfId="3" applyFont="1" applyAlignment="1">
      <alignment vertical="center"/>
    </xf>
    <xf numFmtId="0" fontId="0" fillId="0" borderId="0" xfId="0" applyFill="1" applyBorder="1"/>
    <xf numFmtId="38" fontId="15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18" fillId="0" borderId="0" xfId="1" applyNumberFormat="1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2" fillId="0" borderId="4" xfId="0" applyFont="1" applyBorder="1"/>
    <xf numFmtId="0" fontId="0" fillId="0" borderId="4" xfId="0" applyBorder="1"/>
    <xf numFmtId="166" fontId="12" fillId="0" borderId="4" xfId="0" applyNumberFormat="1" applyFont="1" applyBorder="1" applyAlignment="1">
      <alignment vertical="center"/>
    </xf>
    <xf numFmtId="0" fontId="0" fillId="0" borderId="0" xfId="0" applyBorder="1"/>
    <xf numFmtId="164" fontId="17" fillId="0" borderId="0" xfId="0" applyNumberFormat="1" applyFont="1" applyBorder="1"/>
    <xf numFmtId="164" fontId="16" fillId="0" borderId="0" xfId="0" applyNumberFormat="1" applyFont="1" applyBorder="1"/>
    <xf numFmtId="166" fontId="12" fillId="0" borderId="0" xfId="0" applyNumberFormat="1" applyFont="1" applyBorder="1" applyAlignment="1">
      <alignment vertical="center"/>
    </xf>
    <xf numFmtId="164" fontId="0" fillId="3" borderId="0" xfId="0" applyNumberFormat="1" applyFill="1" applyBorder="1" applyAlignment="1">
      <alignment vertical="center"/>
    </xf>
    <xf numFmtId="164" fontId="0" fillId="3" borderId="0" xfId="0" applyNumberFormat="1" applyFill="1" applyBorder="1"/>
    <xf numFmtId="0" fontId="0" fillId="3" borderId="0" xfId="0" applyFill="1" applyBorder="1"/>
    <xf numFmtId="43" fontId="19" fillId="3" borderId="0" xfId="1" applyFont="1" applyFill="1" applyBorder="1"/>
    <xf numFmtId="164" fontId="0" fillId="3" borderId="0" xfId="2" applyFont="1" applyFill="1" applyBorder="1" applyAlignment="1">
      <alignment vertical="center"/>
    </xf>
    <xf numFmtId="164" fontId="12" fillId="3" borderId="0" xfId="0" applyNumberFormat="1" applyFont="1" applyFill="1" applyBorder="1" applyAlignment="1">
      <alignment vertical="center"/>
    </xf>
    <xf numFmtId="0" fontId="12" fillId="3" borderId="0" xfId="0" applyFont="1" applyFill="1" applyBorder="1"/>
    <xf numFmtId="9" fontId="20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164" fontId="0" fillId="3" borderId="0" xfId="2" applyFont="1" applyFill="1" applyBorder="1"/>
    <xf numFmtId="0" fontId="12" fillId="0" borderId="0" xfId="0" applyFont="1" applyBorder="1" applyAlignment="1">
      <alignment horizontal="center"/>
    </xf>
    <xf numFmtId="0" fontId="23" fillId="0" borderId="6" xfId="0" applyFont="1" applyBorder="1"/>
    <xf numFmtId="0" fontId="23" fillId="0" borderId="3" xfId="0" applyFont="1" applyBorder="1"/>
    <xf numFmtId="0" fontId="23" fillId="0" borderId="8" xfId="0" applyFont="1" applyBorder="1"/>
    <xf numFmtId="0" fontId="23" fillId="0" borderId="0" xfId="0" applyFont="1" applyBorder="1"/>
    <xf numFmtId="164" fontId="23" fillId="0" borderId="9" xfId="0" applyNumberFormat="1" applyFont="1" applyBorder="1"/>
    <xf numFmtId="9" fontId="23" fillId="0" borderId="9" xfId="3" applyFont="1" applyBorder="1"/>
    <xf numFmtId="0" fontId="23" fillId="0" borderId="10" xfId="0" applyFont="1" applyBorder="1"/>
    <xf numFmtId="0" fontId="23" fillId="0" borderId="2" xfId="0" applyFont="1" applyBorder="1"/>
    <xf numFmtId="167" fontId="23" fillId="0" borderId="11" xfId="1" applyNumberFormat="1" applyFont="1" applyBorder="1"/>
    <xf numFmtId="0" fontId="12" fillId="0" borderId="12" xfId="0" applyFont="1" applyBorder="1"/>
    <xf numFmtId="164" fontId="12" fillId="0" borderId="12" xfId="0" applyNumberFormat="1" applyFont="1" applyBorder="1" applyAlignment="1">
      <alignment vertical="center"/>
    </xf>
    <xf numFmtId="166" fontId="11" fillId="0" borderId="0" xfId="17" applyNumberFormat="1" applyFont="1"/>
    <xf numFmtId="164" fontId="11" fillId="0" borderId="0" xfId="2" applyFont="1" applyFill="1"/>
    <xf numFmtId="166" fontId="0" fillId="4" borderId="0" xfId="0" applyNumberFormat="1" applyFill="1" applyAlignment="1">
      <alignment vertical="center"/>
    </xf>
    <xf numFmtId="0" fontId="23" fillId="5" borderId="1" xfId="0" applyFont="1" applyFill="1" applyBorder="1" applyAlignment="1">
      <alignment horizontal="center"/>
    </xf>
    <xf numFmtId="0" fontId="15" fillId="5" borderId="0" xfId="0" applyFont="1" applyFill="1"/>
    <xf numFmtId="164" fontId="23" fillId="5" borderId="12" xfId="0" applyNumberFormat="1" applyFont="1" applyFill="1" applyBorder="1" applyAlignment="1">
      <alignment vertical="center"/>
    </xf>
    <xf numFmtId="43" fontId="24" fillId="5" borderId="0" xfId="1" applyFont="1" applyFill="1"/>
    <xf numFmtId="164" fontId="15" fillId="5" borderId="0" xfId="0" applyNumberFormat="1" applyFont="1" applyFill="1" applyBorder="1" applyAlignment="1">
      <alignment vertical="center"/>
    </xf>
    <xf numFmtId="164" fontId="12" fillId="5" borderId="0" xfId="0" applyNumberFormat="1" applyFont="1" applyFill="1" applyAlignment="1">
      <alignment vertical="center"/>
    </xf>
    <xf numFmtId="9" fontId="20" fillId="5" borderId="0" xfId="3" applyFont="1" applyFill="1" applyAlignment="1">
      <alignment vertical="center"/>
    </xf>
    <xf numFmtId="164" fontId="15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164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43" fontId="0" fillId="5" borderId="2" xfId="1" applyFont="1" applyFill="1" applyBorder="1"/>
    <xf numFmtId="38" fontId="0" fillId="5" borderId="0" xfId="0" applyNumberFormat="1" applyFill="1"/>
    <xf numFmtId="166" fontId="18" fillId="5" borderId="0" xfId="1" applyNumberFormat="1" applyFont="1" applyFill="1"/>
    <xf numFmtId="0" fontId="15" fillId="0" borderId="0" xfId="0" applyFont="1"/>
    <xf numFmtId="164" fontId="23" fillId="0" borderId="4" xfId="0" applyNumberFormat="1" applyFont="1" applyBorder="1"/>
    <xf numFmtId="164" fontId="23" fillId="0" borderId="0" xfId="0" applyNumberFormat="1" applyFont="1" applyBorder="1"/>
    <xf numFmtId="164" fontId="26" fillId="0" borderId="0" xfId="0" applyNumberFormat="1" applyFont="1" applyBorder="1"/>
    <xf numFmtId="164" fontId="12" fillId="5" borderId="12" xfId="0" applyNumberFormat="1" applyFont="1" applyFill="1" applyBorder="1" applyAlignment="1">
      <alignment vertical="center"/>
    </xf>
    <xf numFmtId="164" fontId="23" fillId="0" borderId="0" xfId="0" applyNumberFormat="1" applyFont="1" applyFill="1" applyBorder="1"/>
    <xf numFmtId="164" fontId="23" fillId="0" borderId="0" xfId="0" applyNumberFormat="1" applyFont="1"/>
    <xf numFmtId="0" fontId="23" fillId="0" borderId="0" xfId="0" applyFont="1"/>
    <xf numFmtId="164" fontId="0" fillId="5" borderId="0" xfId="2" applyFont="1" applyFill="1" applyBorder="1"/>
    <xf numFmtId="9" fontId="23" fillId="0" borderId="7" xfId="0" applyNumberFormat="1" applyFont="1" applyBorder="1"/>
    <xf numFmtId="164" fontId="0" fillId="0" borderId="0" xfId="2" applyFont="1"/>
    <xf numFmtId="0" fontId="0" fillId="0" borderId="0" xfId="0" applyFont="1"/>
    <xf numFmtId="0" fontId="12" fillId="0" borderId="0" xfId="0" applyFont="1" applyBorder="1"/>
    <xf numFmtId="0" fontId="28" fillId="0" borderId="0" xfId="0" applyFont="1"/>
    <xf numFmtId="0" fontId="0" fillId="0" borderId="0" xfId="0" applyFont="1" applyBorder="1"/>
    <xf numFmtId="0" fontId="27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2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164" fontId="0" fillId="0" borderId="0" xfId="0" quotePrefix="1" applyNumberFormat="1" applyAlignment="1">
      <alignment vertical="center"/>
    </xf>
    <xf numFmtId="0" fontId="12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165" fontId="0" fillId="0" borderId="0" xfId="0" applyNumberFormat="1"/>
    <xf numFmtId="0" fontId="12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2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7" fillId="0" borderId="0" xfId="0" applyFont="1" applyBorder="1" applyAlignment="1"/>
    <xf numFmtId="14" fontId="27" fillId="0" borderId="0" xfId="0" applyNumberFormat="1" applyFont="1" applyBorder="1" applyAlignment="1"/>
    <xf numFmtId="164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6" fontId="0" fillId="0" borderId="0" xfId="19" applyNumberFormat="1" applyFont="1" applyFill="1" applyBorder="1" applyAlignment="1" applyProtection="1">
      <alignment horizontal="right"/>
      <protection locked="0"/>
    </xf>
    <xf numFmtId="164" fontId="0" fillId="0" borderId="0" xfId="2" applyFont="1" applyFill="1" applyBorder="1"/>
    <xf numFmtId="9" fontId="0" fillId="0" borderId="0" xfId="2" applyNumberFormat="1" applyFont="1" applyBorder="1"/>
    <xf numFmtId="166" fontId="0" fillId="0" borderId="0" xfId="19" applyNumberFormat="1" applyFont="1" applyFill="1" applyBorder="1" applyAlignment="1" applyProtection="1">
      <alignment horizontal="center"/>
      <protection locked="0"/>
    </xf>
    <xf numFmtId="166" fontId="0" fillId="0" borderId="0" xfId="19" applyNumberFormat="1" applyFont="1" applyBorder="1"/>
    <xf numFmtId="0" fontId="12" fillId="0" borderId="23" xfId="0" applyFont="1" applyBorder="1" applyAlignment="1">
      <alignment horizontal="left"/>
    </xf>
    <xf numFmtId="0" fontId="0" fillId="0" borderId="23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6" fontId="0" fillId="7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6" fontId="0" fillId="8" borderId="24" xfId="1" applyNumberFormat="1" applyFont="1" applyFill="1" applyBorder="1"/>
    <xf numFmtId="164" fontId="12" fillId="0" borderId="18" xfId="2" applyFont="1" applyBorder="1"/>
    <xf numFmtId="168" fontId="12" fillId="0" borderId="22" xfId="2" applyNumberFormat="1" applyFont="1" applyBorder="1"/>
    <xf numFmtId="164" fontId="15" fillId="0" borderId="0" xfId="2" applyFont="1" applyAlignment="1">
      <alignment vertical="center"/>
    </xf>
    <xf numFmtId="164" fontId="14" fillId="0" borderId="0" xfId="2" applyFont="1"/>
    <xf numFmtId="0" fontId="33" fillId="0" borderId="31" xfId="0" applyFont="1" applyBorder="1" applyAlignment="1">
      <alignment vertical="center"/>
    </xf>
    <xf numFmtId="0" fontId="33" fillId="0" borderId="22" xfId="0" applyFont="1" applyBorder="1" applyAlignment="1">
      <alignment vertical="center"/>
    </xf>
    <xf numFmtId="0" fontId="33" fillId="0" borderId="31" xfId="0" applyFont="1" applyBorder="1" applyAlignment="1">
      <alignment horizontal="right" vertical="center"/>
    </xf>
    <xf numFmtId="17" fontId="33" fillId="0" borderId="22" xfId="0" applyNumberFormat="1" applyFont="1" applyBorder="1" applyAlignment="1">
      <alignment vertical="center"/>
    </xf>
    <xf numFmtId="0" fontId="0" fillId="0" borderId="20" xfId="0" applyBorder="1"/>
    <xf numFmtId="0" fontId="0" fillId="0" borderId="21" xfId="0" applyBorder="1"/>
    <xf numFmtId="0" fontId="12" fillId="0" borderId="13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164" fontId="0" fillId="0" borderId="29" xfId="2" applyFont="1" applyBorder="1"/>
    <xf numFmtId="164" fontId="0" fillId="0" borderId="23" xfId="2" applyFont="1" applyBorder="1"/>
    <xf numFmtId="164" fontId="0" fillId="0" borderId="31" xfId="0" applyNumberFormat="1" applyBorder="1"/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/>
    </xf>
    <xf numFmtId="0" fontId="12" fillId="0" borderId="33" xfId="0" applyFont="1" applyBorder="1" applyAlignment="1">
      <alignment horizontal="center"/>
    </xf>
    <xf numFmtId="170" fontId="0" fillId="3" borderId="19" xfId="3" applyNumberFormat="1" applyFont="1" applyFill="1" applyBorder="1"/>
    <xf numFmtId="164" fontId="0" fillId="3" borderId="18" xfId="2" applyFont="1" applyFill="1" applyBorder="1"/>
    <xf numFmtId="170" fontId="0" fillId="3" borderId="18" xfId="3" applyNumberFormat="1" applyFont="1" applyFill="1" applyBorder="1"/>
    <xf numFmtId="168" fontId="0" fillId="3" borderId="22" xfId="2" applyNumberFormat="1" applyFont="1" applyFill="1" applyBorder="1"/>
    <xf numFmtId="9" fontId="0" fillId="0" borderId="0" xfId="3" applyFont="1" applyAlignment="1">
      <alignment vertical="center"/>
    </xf>
    <xf numFmtId="0" fontId="32" fillId="9" borderId="1" xfId="0" applyFont="1" applyFill="1" applyBorder="1" applyAlignment="1">
      <alignment horizontal="center" vertical="center"/>
    </xf>
    <xf numFmtId="164" fontId="33" fillId="0" borderId="22" xfId="2" applyFont="1" applyBorder="1" applyAlignment="1">
      <alignment vertical="center"/>
    </xf>
    <xf numFmtId="9" fontId="0" fillId="0" borderId="0" xfId="3" applyFont="1"/>
    <xf numFmtId="164" fontId="19" fillId="0" borderId="0" xfId="0" applyNumberFormat="1" applyFont="1" applyAlignment="1">
      <alignment vertical="center"/>
    </xf>
    <xf numFmtId="0" fontId="8" fillId="0" borderId="0" xfId="13"/>
    <xf numFmtId="0" fontId="12" fillId="0" borderId="0" xfId="13" applyFont="1"/>
    <xf numFmtId="0" fontId="11" fillId="0" borderId="0" xfId="17"/>
    <xf numFmtId="9" fontId="0" fillId="0" borderId="0" xfId="0" applyNumberFormat="1"/>
    <xf numFmtId="10" fontId="0" fillId="0" borderId="0" xfId="0" applyNumberFormat="1"/>
    <xf numFmtId="164" fontId="0" fillId="0" borderId="0" xfId="0" applyNumberFormat="1" applyFont="1"/>
    <xf numFmtId="0" fontId="34" fillId="0" borderId="0" xfId="0" applyFont="1" applyBorder="1" applyAlignment="1">
      <alignment horizontal="right"/>
    </xf>
    <xf numFmtId="0" fontId="0" fillId="0" borderId="19" xfId="0" applyFont="1" applyBorder="1" applyAlignment="1">
      <alignment wrapText="1"/>
    </xf>
    <xf numFmtId="0" fontId="0" fillId="0" borderId="18" xfId="0" applyFont="1" applyBorder="1" applyAlignment="1">
      <alignment wrapText="1"/>
    </xf>
    <xf numFmtId="164" fontId="15" fillId="5" borderId="0" xfId="0" applyNumberFormat="1" applyFont="1" applyFill="1"/>
    <xf numFmtId="0" fontId="0" fillId="0" borderId="0" xfId="0" applyAlignment="1">
      <alignment horizontal="right"/>
    </xf>
    <xf numFmtId="0" fontId="34" fillId="0" borderId="0" xfId="0" applyFont="1" applyAlignment="1">
      <alignment horizontal="right"/>
    </xf>
    <xf numFmtId="0" fontId="35" fillId="0" borderId="0" xfId="0" applyFont="1"/>
    <xf numFmtId="9" fontId="12" fillId="0" borderId="19" xfId="2" applyNumberFormat="1" applyFont="1" applyBorder="1" applyAlignment="1">
      <alignment horizontal="right"/>
    </xf>
    <xf numFmtId="0" fontId="37" fillId="0" borderId="0" xfId="35" applyFont="1" applyAlignment="1">
      <alignment vertical="center" wrapText="1"/>
    </xf>
    <xf numFmtId="0" fontId="1" fillId="0" borderId="0" xfId="35"/>
    <xf numFmtId="0" fontId="37" fillId="0" borderId="0" xfId="35" applyFont="1"/>
    <xf numFmtId="0" fontId="38" fillId="0" borderId="0" xfId="35" applyFont="1" applyAlignment="1">
      <alignment vertical="center"/>
    </xf>
    <xf numFmtId="0" fontId="33" fillId="0" borderId="33" xfId="35" applyFont="1" applyBorder="1" applyAlignment="1">
      <alignment horizontal="center" vertical="center"/>
    </xf>
    <xf numFmtId="0" fontId="33" fillId="0" borderId="33" xfId="35" applyFont="1" applyBorder="1" applyAlignment="1">
      <alignment vertical="center"/>
    </xf>
    <xf numFmtId="171" fontId="33" fillId="0" borderId="33" xfId="35" applyNumberFormat="1" applyFont="1" applyBorder="1" applyAlignment="1">
      <alignment vertical="center" wrapText="1"/>
    </xf>
    <xf numFmtId="171" fontId="1" fillId="0" borderId="33" xfId="35" applyNumberFormat="1" applyBorder="1" applyAlignment="1"/>
    <xf numFmtId="0" fontId="1" fillId="0" borderId="33" xfId="35" applyBorder="1" applyAlignment="1"/>
    <xf numFmtId="9" fontId="23" fillId="0" borderId="9" xfId="0" applyNumberFormat="1" applyFont="1" applyBorder="1"/>
    <xf numFmtId="0" fontId="12" fillId="0" borderId="0" xfId="0" applyFont="1" applyBorder="1" applyAlignment="1">
      <alignment horizontal="center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9" fontId="33" fillId="0" borderId="33" xfId="3" applyFont="1" applyBorder="1" applyAlignment="1">
      <alignment vertical="center"/>
    </xf>
    <xf numFmtId="9" fontId="1" fillId="0" borderId="33" xfId="3" applyFont="1" applyBorder="1" applyAlignment="1"/>
    <xf numFmtId="9" fontId="12" fillId="0" borderId="1" xfId="0" applyNumberFormat="1" applyFont="1" applyBorder="1" applyAlignment="1">
      <alignment horizontal="center" vertical="center"/>
    </xf>
    <xf numFmtId="166" fontId="0" fillId="0" borderId="0" xfId="19" applyNumberFormat="1" applyFont="1" applyFill="1" applyBorder="1"/>
    <xf numFmtId="9" fontId="0" fillId="0" borderId="0" xfId="0" applyNumberFormat="1" applyFont="1" applyBorder="1"/>
    <xf numFmtId="0" fontId="12" fillId="0" borderId="20" xfId="0" applyFont="1" applyFill="1" applyBorder="1" applyAlignment="1" applyProtection="1">
      <alignment horizontal="left" indent="1"/>
    </xf>
    <xf numFmtId="0" fontId="12" fillId="0" borderId="0" xfId="0" applyFont="1" applyFill="1" applyBorder="1" applyAlignment="1" applyProtection="1">
      <alignment horizontal="left" indent="1"/>
    </xf>
    <xf numFmtId="0" fontId="12" fillId="0" borderId="21" xfId="0" applyFont="1" applyFill="1" applyBorder="1" applyAlignment="1" applyProtection="1">
      <alignment horizontal="left" indent="1"/>
    </xf>
    <xf numFmtId="0" fontId="12" fillId="0" borderId="1" xfId="0" applyFont="1" applyFill="1" applyBorder="1" applyAlignment="1" applyProtection="1">
      <alignment horizontal="left" indent="1"/>
    </xf>
    <xf numFmtId="0" fontId="1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2" fillId="0" borderId="0" xfId="0" applyFont="1" applyBorder="1" applyAlignment="1">
      <alignment horizontal="left"/>
    </xf>
    <xf numFmtId="0" fontId="12" fillId="0" borderId="16" xfId="0" applyFont="1" applyFill="1" applyBorder="1" applyAlignment="1" applyProtection="1">
      <alignment horizontal="left" indent="1"/>
    </xf>
    <xf numFmtId="0" fontId="12" fillId="0" borderId="17" xfId="0" applyFont="1" applyFill="1" applyBorder="1" applyAlignment="1" applyProtection="1">
      <alignment horizontal="left" indent="1"/>
    </xf>
    <xf numFmtId="0" fontId="12" fillId="0" borderId="17" xfId="0" applyFont="1" applyBorder="1" applyAlignment="1">
      <alignment horizontal="center"/>
    </xf>
    <xf numFmtId="0" fontId="0" fillId="0" borderId="0" xfId="0" applyFont="1" applyBorder="1" applyAlignment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27" fillId="0" borderId="13" xfId="0" applyFont="1" applyBorder="1" applyAlignment="1">
      <alignment horizontal="center"/>
    </xf>
    <xf numFmtId="0" fontId="27" fillId="0" borderId="14" xfId="0" applyFont="1" applyBorder="1" applyAlignment="1">
      <alignment horizontal="center"/>
    </xf>
    <xf numFmtId="0" fontId="27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2" fillId="0" borderId="17" xfId="0" applyFont="1" applyBorder="1" applyAlignment="1">
      <alignment horizontal="left"/>
    </xf>
    <xf numFmtId="0" fontId="0" fillId="3" borderId="20" xfId="0" applyFont="1" applyFill="1" applyBorder="1" applyAlignment="1">
      <alignment horizontal="center"/>
    </xf>
    <xf numFmtId="0" fontId="0" fillId="3" borderId="0" xfId="0" applyFont="1" applyFill="1" applyBorder="1" applyAlignment="1">
      <alignment horizontal="center"/>
    </xf>
    <xf numFmtId="0" fontId="0" fillId="3" borderId="2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164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0" xfId="0" applyBorder="1" applyAlignment="1">
      <alignment horizontal="left" vertical="center"/>
    </xf>
    <xf numFmtId="0" fontId="0" fillId="3" borderId="16" xfId="0" applyFont="1" applyFill="1" applyBorder="1" applyAlignment="1">
      <alignment horizontal="center"/>
    </xf>
    <xf numFmtId="0" fontId="0" fillId="3" borderId="17" xfId="0" applyFont="1" applyFill="1" applyBorder="1" applyAlignment="1">
      <alignment horizontal="center"/>
    </xf>
    <xf numFmtId="0" fontId="32" fillId="9" borderId="29" xfId="0" applyFont="1" applyFill="1" applyBorder="1" applyAlignment="1">
      <alignment horizontal="center" vertical="center"/>
    </xf>
    <xf numFmtId="0" fontId="32" fillId="9" borderId="30" xfId="0" applyFont="1" applyFill="1" applyBorder="1" applyAlignment="1">
      <alignment horizontal="center" vertical="center"/>
    </xf>
    <xf numFmtId="0" fontId="32" fillId="9" borderId="13" xfId="0" applyFont="1" applyFill="1" applyBorder="1" applyAlignment="1">
      <alignment horizontal="center" vertical="center"/>
    </xf>
    <xf numFmtId="0" fontId="32" fillId="9" borderId="32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6" fillId="0" borderId="0" xfId="35" applyFont="1" applyAlignment="1">
      <alignment horizontal="center" vertical="center"/>
    </xf>
    <xf numFmtId="0" fontId="39" fillId="10" borderId="33" xfId="35" applyFont="1" applyFill="1" applyBorder="1" applyAlignment="1">
      <alignment horizontal="center" vertical="center"/>
    </xf>
    <xf numFmtId="0" fontId="40" fillId="10" borderId="33" xfId="35" applyFont="1" applyFill="1" applyBorder="1" applyAlignment="1">
      <alignment horizontal="center" vertical="center"/>
    </xf>
    <xf numFmtId="0" fontId="40" fillId="10" borderId="29" xfId="35" applyFont="1" applyFill="1" applyBorder="1" applyAlignment="1">
      <alignment horizontal="center" vertical="center"/>
    </xf>
    <xf numFmtId="0" fontId="40" fillId="10" borderId="31" xfId="35" applyFont="1" applyFill="1" applyBorder="1" applyAlignment="1">
      <alignment horizontal="center" vertical="center"/>
    </xf>
    <xf numFmtId="0" fontId="38" fillId="0" borderId="0" xfId="35" applyFont="1" applyAlignment="1">
      <alignment vertical="center"/>
    </xf>
  </cellXfs>
  <cellStyles count="36">
    <cellStyle name="Comma" xfId="1" builtinId="3"/>
    <cellStyle name="Comma [0]" xfId="2" builtinId="6"/>
    <cellStyle name="Comma [0] 2" xfId="9" xr:uid="{00000000-0005-0000-0000-000002000000}"/>
    <cellStyle name="Comma [0] 3" xfId="31" xr:uid="{00000000-0005-0000-0000-000003000000}"/>
    <cellStyle name="Comma [0] 4" xfId="34" xr:uid="{3040434A-A10E-4154-ACFA-8D21DC82CDAA}"/>
    <cellStyle name="Comma 2" xfId="7" xr:uid="{00000000-0005-0000-0000-000004000000}"/>
    <cellStyle name="Comma 2 3" xfId="22" xr:uid="{00000000-0005-0000-0000-000005000000}"/>
    <cellStyle name="Comma 3" xfId="10" xr:uid="{00000000-0005-0000-0000-000006000000}"/>
    <cellStyle name="Comma 3 2" xfId="11" xr:uid="{00000000-0005-0000-0000-000007000000}"/>
    <cellStyle name="Comma 4" xfId="12" xr:uid="{00000000-0005-0000-0000-000008000000}"/>
    <cellStyle name="Comma 5" xfId="18" xr:uid="{00000000-0005-0000-0000-000009000000}"/>
    <cellStyle name="Comma 5 2" xfId="19" xr:uid="{00000000-0005-0000-0000-00000A000000}"/>
    <cellStyle name="Currency [0] 2" xfId="23" xr:uid="{00000000-0005-0000-0000-00000B000000}"/>
    <cellStyle name="Currency [0] 2 2" xfId="33" xr:uid="{43817D0E-3C73-45FA-A8FD-9451697B7D94}"/>
    <cellStyle name="Currency [0] 3" xfId="27" xr:uid="{00000000-0005-0000-0000-00000C000000}"/>
    <cellStyle name="Currency [0] 4" xfId="30" xr:uid="{00000000-0005-0000-0000-00000D000000}"/>
    <cellStyle name="Currency 2" xfId="26" xr:uid="{00000000-0005-0000-0000-00000E000000}"/>
    <cellStyle name="Currency 3" xfId="28" xr:uid="{00000000-0005-0000-0000-00000F000000}"/>
    <cellStyle name="Normal" xfId="0" builtinId="0"/>
    <cellStyle name="Normal 2" xfId="5" xr:uid="{00000000-0005-0000-0000-000011000000}"/>
    <cellStyle name="Normal 2 2" xfId="6" xr:uid="{00000000-0005-0000-0000-000012000000}"/>
    <cellStyle name="Normal 2 2 2 2 3" xfId="17" xr:uid="{00000000-0005-0000-0000-000013000000}"/>
    <cellStyle name="Normal 2 7" xfId="20" xr:uid="{00000000-0005-0000-0000-000014000000}"/>
    <cellStyle name="Normal 3" xfId="13" xr:uid="{00000000-0005-0000-0000-000015000000}"/>
    <cellStyle name="Normal 3 2" xfId="14" xr:uid="{00000000-0005-0000-0000-000016000000}"/>
    <cellStyle name="Normal 3 3" xfId="21" xr:uid="{00000000-0005-0000-0000-000017000000}"/>
    <cellStyle name="Normal 4" xfId="24" xr:uid="{00000000-0005-0000-0000-000018000000}"/>
    <cellStyle name="Normal 5" xfId="25" xr:uid="{00000000-0005-0000-0000-000019000000}"/>
    <cellStyle name="Normal 6" xfId="29" xr:uid="{00000000-0005-0000-0000-00001A000000}"/>
    <cellStyle name="Normal 7" xfId="32" xr:uid="{921BC7D5-6068-4B2B-B126-A6FE82464466}"/>
    <cellStyle name="Normal 8" xfId="35" xr:uid="{01329810-F323-4F15-BE4B-4C0C9EFF6777}"/>
    <cellStyle name="Percent" xfId="3" builtinId="5"/>
    <cellStyle name="Percent 2" xfId="8" xr:uid="{00000000-0005-0000-0000-00001C000000}"/>
    <cellStyle name="Percent 2 2" xfId="4" xr:uid="{00000000-0005-0000-0000-00001D000000}"/>
    <cellStyle name="Percent 3" xfId="15" xr:uid="{00000000-0005-0000-0000-00001E000000}"/>
    <cellStyle name="Percent 3 2" xfId="16" xr:uid="{00000000-0005-0000-0000-00001F000000}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27</xdr:row>
      <xdr:rowOff>0</xdr:rowOff>
    </xdr:from>
    <xdr:to>
      <xdr:col>12</xdr:col>
      <xdr:colOff>231748</xdr:colOff>
      <xdr:row>28</xdr:row>
      <xdr:rowOff>18890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23CDAB4F-5063-4D79-BC2A-C91D8F7197F2}"/>
            </a:ext>
          </a:extLst>
        </xdr:cNvPr>
        <xdr:cNvGrpSpPr/>
      </xdr:nvGrpSpPr>
      <xdr:grpSpPr>
        <a:xfrm>
          <a:off x="541421" y="5233737"/>
          <a:ext cx="8142511" cy="219416"/>
          <a:chOff x="570986" y="4929519"/>
          <a:chExt cx="13593440" cy="457142"/>
        </a:xfrm>
      </xdr:grpSpPr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4BFB00E1-02D2-4D76-94B1-87FC425A43AA}"/>
              </a:ext>
            </a:extLst>
          </xdr:cNvPr>
          <xdr:cNvSpPr txBox="1"/>
        </xdr:nvSpPr>
        <xdr:spPr>
          <a:xfrm>
            <a:off x="6527905" y="5088276"/>
            <a:ext cx="2166433" cy="207666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    Nelson  F.H.</a:t>
            </a:r>
          </a:p>
        </xdr:txBody>
      </xdr: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ACB77B15-1822-4173-A235-2D9BADE46CFC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         Lilis S.</a:t>
            </a:r>
          </a:p>
        </xdr:txBody>
      </xdr:sp>
      <xdr:sp macro="" textlink="">
        <xdr:nvSpPr>
          <xdr:cNvPr id="27" name="TextBox 26">
            <a:extLst>
              <a:ext uri="{FF2B5EF4-FFF2-40B4-BE49-F238E27FC236}">
                <a16:creationId xmlns:a16="http://schemas.microsoft.com/office/drawing/2014/main" id="{C06258F1-90F9-4C45-83C1-04BFA5F450D3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endParaRPr lang="en-US" sz="1200" b="1"/>
          </a:p>
        </xdr:txBody>
      </xdr:sp>
      <xdr:sp macro="" textlink="">
        <xdr:nvSpPr>
          <xdr:cNvPr id="28" name="TextBox 27">
            <a:extLst>
              <a:ext uri="{FF2B5EF4-FFF2-40B4-BE49-F238E27FC236}">
                <a16:creationId xmlns:a16="http://schemas.microsoft.com/office/drawing/2014/main" id="{EC4D2D7C-67D2-42C5-A024-064C67B8D52D}"/>
              </a:ext>
            </a:extLst>
          </xdr:cNvPr>
          <xdr:cNvSpPr txBox="1"/>
        </xdr:nvSpPr>
        <xdr:spPr>
          <a:xfrm>
            <a:off x="9704345" y="4974878"/>
            <a:ext cx="1836001" cy="32889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B00A97F4-1495-479A-B905-A540A05C7278}"/>
              </a:ext>
            </a:extLst>
          </xdr:cNvPr>
          <xdr:cNvSpPr txBox="1"/>
        </xdr:nvSpPr>
        <xdr:spPr>
          <a:xfrm>
            <a:off x="12765102" y="4929519"/>
            <a:ext cx="1399324" cy="38910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30" name="TextBox 29">
            <a:extLst>
              <a:ext uri="{FF2B5EF4-FFF2-40B4-BE49-F238E27FC236}">
                <a16:creationId xmlns:a16="http://schemas.microsoft.com/office/drawing/2014/main" id="{58BE0B53-B04E-4C11-8317-839F75518BBF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              Gaga H.</a:t>
            </a:r>
          </a:p>
        </xdr:txBody>
      </xdr:sp>
    </xdr:grpSp>
    <xdr:clientData/>
  </xdr:twoCellAnchor>
  <xdr:twoCellAnchor>
    <xdr:from>
      <xdr:col>2</xdr:col>
      <xdr:colOff>150395</xdr:colOff>
      <xdr:row>32</xdr:row>
      <xdr:rowOff>70185</xdr:rowOff>
    </xdr:from>
    <xdr:to>
      <xdr:col>12</xdr:col>
      <xdr:colOff>424828</xdr:colOff>
      <xdr:row>32</xdr:row>
      <xdr:rowOff>85918</xdr:rowOff>
    </xdr:to>
    <xdr:grpSp>
      <xdr:nvGrpSpPr>
        <xdr:cNvPr id="45" name="Group 44">
          <a:extLst>
            <a:ext uri="{FF2B5EF4-FFF2-40B4-BE49-F238E27FC236}">
              <a16:creationId xmlns:a16="http://schemas.microsoft.com/office/drawing/2014/main" id="{8620B9F7-E304-4E09-AF63-7353B86807AE}"/>
            </a:ext>
          </a:extLst>
        </xdr:cNvPr>
        <xdr:cNvGrpSpPr/>
      </xdr:nvGrpSpPr>
      <xdr:grpSpPr>
        <a:xfrm flipV="1">
          <a:off x="691816" y="6306553"/>
          <a:ext cx="8185196" cy="15733"/>
          <a:chOff x="722947" y="7327115"/>
          <a:chExt cx="10285884" cy="425"/>
        </a:xfrm>
      </xdr:grpSpPr>
      <xdr:cxnSp macro="">
        <xdr:nvCxnSpPr>
          <xdr:cNvPr id="46" name="Straight Connector 45">
            <a:extLst>
              <a:ext uri="{FF2B5EF4-FFF2-40B4-BE49-F238E27FC236}">
                <a16:creationId xmlns:a16="http://schemas.microsoft.com/office/drawing/2014/main" id="{A5D1F098-069F-4492-98A8-98F57FF50672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7" name="Straight Connector 46">
            <a:extLst>
              <a:ext uri="{FF2B5EF4-FFF2-40B4-BE49-F238E27FC236}">
                <a16:creationId xmlns:a16="http://schemas.microsoft.com/office/drawing/2014/main" id="{9C418E4B-AFF5-4F0A-9DD3-7E2179AF21DA}"/>
              </a:ext>
            </a:extLst>
          </xdr:cNvPr>
          <xdr:cNvCxnSpPr/>
        </xdr:nvCxnSpPr>
        <xdr:spPr>
          <a:xfrm flipV="1">
            <a:off x="2609635" y="7327409"/>
            <a:ext cx="1614178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8" name="Straight Connector 47">
            <a:extLst>
              <a:ext uri="{FF2B5EF4-FFF2-40B4-BE49-F238E27FC236}">
                <a16:creationId xmlns:a16="http://schemas.microsoft.com/office/drawing/2014/main" id="{53793CEF-DB28-4740-A6D4-94C4DAB741BA}"/>
              </a:ext>
            </a:extLst>
          </xdr:cNvPr>
          <xdr:cNvCxnSpPr/>
        </xdr:nvCxnSpPr>
        <xdr:spPr>
          <a:xfrm flipV="1">
            <a:off x="4879928" y="7327115"/>
            <a:ext cx="1724113" cy="321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9" name="Straight Connector 48">
            <a:extLst>
              <a:ext uri="{FF2B5EF4-FFF2-40B4-BE49-F238E27FC236}">
                <a16:creationId xmlns:a16="http://schemas.microsoft.com/office/drawing/2014/main" id="{30580223-8941-4A71-98D5-8505FEDD58D5}"/>
              </a:ext>
            </a:extLst>
          </xdr:cNvPr>
          <xdr:cNvCxnSpPr/>
        </xdr:nvCxnSpPr>
        <xdr:spPr>
          <a:xfrm flipV="1">
            <a:off x="7260655" y="7327133"/>
            <a:ext cx="1600499" cy="289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0" name="Straight Connector 49">
            <a:extLst>
              <a:ext uri="{FF2B5EF4-FFF2-40B4-BE49-F238E27FC236}">
                <a16:creationId xmlns:a16="http://schemas.microsoft.com/office/drawing/2014/main" id="{748173DE-5B35-452A-BA9F-E4ECCC4F010D}"/>
              </a:ext>
            </a:extLst>
          </xdr:cNvPr>
          <xdr:cNvCxnSpPr/>
        </xdr:nvCxnSpPr>
        <xdr:spPr>
          <a:xfrm flipV="1">
            <a:off x="9367296" y="7327377"/>
            <a:ext cx="1641535" cy="163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3"/>
  <sheetViews>
    <sheetView showGridLines="0" zoomScale="76" zoomScaleNormal="110" workbookViewId="0">
      <selection activeCell="B1" sqref="B1:N33"/>
    </sheetView>
  </sheetViews>
  <sheetFormatPr defaultColWidth="8.59765625" defaultRowHeight="15.6" x14ac:dyDescent="0.3"/>
  <cols>
    <col min="1" max="1" width="4.09765625" style="92" customWidth="1"/>
    <col min="2" max="2" width="3" style="92" customWidth="1"/>
    <col min="3" max="3" width="16.59765625" style="92" customWidth="1"/>
    <col min="4" max="4" width="25.5" style="92" customWidth="1"/>
    <col min="5" max="5" width="4.19921875" style="92" customWidth="1"/>
    <col min="6" max="6" width="4.796875" style="92" customWidth="1"/>
    <col min="7" max="7" width="10.59765625" style="92" customWidth="1"/>
    <col min="8" max="8" width="8.296875" style="92" customWidth="1"/>
    <col min="9" max="9" width="5.296875" style="92" customWidth="1"/>
    <col min="10" max="10" width="2.09765625" style="92" customWidth="1"/>
    <col min="11" max="11" width="5.09765625" style="92" customWidth="1"/>
    <col min="12" max="12" width="21.296875" style="92" customWidth="1"/>
    <col min="13" max="13" width="16.5" style="92" customWidth="1"/>
    <col min="14" max="14" width="2.09765625" style="92" customWidth="1"/>
    <col min="15" max="15" width="3.59765625" style="92" customWidth="1"/>
    <col min="16" max="16384" width="8.59765625" style="92"/>
  </cols>
  <sheetData>
    <row r="1" spans="2:14" ht="18.600000000000001" customHeight="1" x14ac:dyDescent="0.45">
      <c r="B1" s="95" t="s">
        <v>147</v>
      </c>
      <c r="C1" s="95" t="s">
        <v>182</v>
      </c>
      <c r="D1" s="95"/>
      <c r="E1" s="95"/>
      <c r="F1" s="95"/>
      <c r="G1" s="95"/>
      <c r="H1" s="95"/>
      <c r="I1" s="95"/>
      <c r="J1" s="95"/>
      <c r="K1" s="95"/>
      <c r="L1" s="95"/>
      <c r="M1" s="174" t="s">
        <v>148</v>
      </c>
      <c r="N1" s="95"/>
    </row>
    <row r="2" spans="2:14" ht="18" x14ac:dyDescent="0.35">
      <c r="B2" s="95"/>
      <c r="C2" s="96" t="s">
        <v>47</v>
      </c>
      <c r="D2" s="93" t="s">
        <v>159</v>
      </c>
      <c r="E2" s="95"/>
      <c r="F2" s="95"/>
      <c r="G2" s="95"/>
      <c r="H2" s="95"/>
      <c r="J2" s="118" t="s">
        <v>75</v>
      </c>
      <c r="K2" s="118"/>
      <c r="L2" s="118"/>
      <c r="M2" s="119">
        <v>45820</v>
      </c>
      <c r="N2" s="95"/>
    </row>
    <row r="3" spans="2:14" ht="18" x14ac:dyDescent="0.35">
      <c r="B3" s="95"/>
      <c r="C3" s="96" t="s">
        <v>48</v>
      </c>
      <c r="D3" s="93" t="s">
        <v>183</v>
      </c>
      <c r="E3" s="95"/>
      <c r="F3" s="95"/>
      <c r="G3" s="95"/>
      <c r="H3" s="95"/>
      <c r="M3" s="95"/>
      <c r="N3" s="95"/>
    </row>
    <row r="4" spans="2:14" ht="1.05" customHeight="1" thickBot="1" x14ac:dyDescent="0.35">
      <c r="B4" s="95"/>
      <c r="C4" s="93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</row>
    <row r="5" spans="2:14" s="94" customFormat="1" ht="18.600000000000001" thickBot="1" x14ac:dyDescent="0.4">
      <c r="B5" s="215" t="s">
        <v>49</v>
      </c>
      <c r="C5" s="216"/>
      <c r="D5" s="217"/>
      <c r="E5" s="215" t="s">
        <v>50</v>
      </c>
      <c r="F5" s="216"/>
      <c r="G5" s="216"/>
      <c r="H5" s="216"/>
      <c r="I5" s="216"/>
      <c r="J5" s="215" t="s">
        <v>51</v>
      </c>
      <c r="K5" s="216"/>
      <c r="L5" s="216"/>
      <c r="M5" s="216"/>
      <c r="N5" s="217"/>
    </row>
    <row r="6" spans="2:14" x14ac:dyDescent="0.3">
      <c r="B6" s="218" t="s">
        <v>52</v>
      </c>
      <c r="C6" s="219"/>
      <c r="D6" s="175" t="s">
        <v>149</v>
      </c>
      <c r="E6" s="220" t="s">
        <v>53</v>
      </c>
      <c r="F6" s="220"/>
      <c r="G6" s="220"/>
      <c r="H6" s="220"/>
      <c r="I6" s="220"/>
      <c r="J6" s="110"/>
      <c r="K6" s="219" t="s">
        <v>185</v>
      </c>
      <c r="L6" s="219"/>
      <c r="M6" s="120">
        <f>'IRR (2)'!F12</f>
        <v>274400000</v>
      </c>
      <c r="N6" s="108"/>
    </row>
    <row r="7" spans="2:14" x14ac:dyDescent="0.3">
      <c r="B7" s="99"/>
      <c r="C7" s="95"/>
      <c r="D7" s="176"/>
      <c r="E7" s="212" t="s">
        <v>55</v>
      </c>
      <c r="F7" s="212"/>
      <c r="G7" s="212"/>
      <c r="H7" s="122"/>
      <c r="I7" s="95"/>
      <c r="J7" s="99"/>
      <c r="K7" s="212" t="s">
        <v>186</v>
      </c>
      <c r="L7" s="212"/>
      <c r="M7" s="123">
        <v>261500</v>
      </c>
      <c r="N7" s="97"/>
    </row>
    <row r="8" spans="2:14" x14ac:dyDescent="0.3">
      <c r="B8" s="213" t="s">
        <v>54</v>
      </c>
      <c r="C8" s="214"/>
      <c r="D8" s="121"/>
      <c r="E8" s="212" t="s">
        <v>58</v>
      </c>
      <c r="F8" s="212"/>
      <c r="G8" s="212"/>
      <c r="H8" s="122">
        <v>0</v>
      </c>
      <c r="I8" s="95"/>
      <c r="J8" s="99"/>
      <c r="K8" s="212" t="s">
        <v>56</v>
      </c>
      <c r="L8" s="212"/>
      <c r="M8" s="120">
        <v>5</v>
      </c>
      <c r="N8" s="97"/>
    </row>
    <row r="9" spans="2:14" x14ac:dyDescent="0.3">
      <c r="B9" s="111" t="s">
        <v>57</v>
      </c>
      <c r="C9" s="112"/>
      <c r="D9" s="97" t="s">
        <v>150</v>
      </c>
      <c r="E9" s="212" t="s">
        <v>60</v>
      </c>
      <c r="F9" s="212"/>
      <c r="G9" s="212"/>
      <c r="H9" s="125"/>
      <c r="I9" s="95"/>
      <c r="J9" s="99"/>
      <c r="K9" s="212" t="s">
        <v>70</v>
      </c>
      <c r="L9" s="212"/>
      <c r="M9" s="124">
        <v>0.1</v>
      </c>
      <c r="N9" s="97"/>
    </row>
    <row r="10" spans="2:14" x14ac:dyDescent="0.3">
      <c r="B10" s="113" t="s">
        <v>59</v>
      </c>
      <c r="C10" s="114"/>
      <c r="D10" s="97" t="s">
        <v>141</v>
      </c>
      <c r="E10" s="208" t="s">
        <v>62</v>
      </c>
      <c r="F10" s="208"/>
      <c r="G10" s="208"/>
      <c r="H10" s="208"/>
      <c r="I10" s="208"/>
      <c r="J10" s="115"/>
      <c r="K10" s="207" t="s">
        <v>187</v>
      </c>
      <c r="L10" s="207"/>
      <c r="M10" s="120">
        <f>'IRR (2)'!G12+'IRR (2)'!G13+'IRR (2)'!H13+'IRR (2)'!I13+'IRR (2)'!J13+'IRR (2)'!K13</f>
        <v>376777250</v>
      </c>
      <c r="N10" s="97"/>
    </row>
    <row r="11" spans="2:14" x14ac:dyDescent="0.3">
      <c r="B11" s="113" t="s">
        <v>61</v>
      </c>
      <c r="C11" s="114"/>
      <c r="D11" s="97" t="s">
        <v>119</v>
      </c>
      <c r="E11" s="206" t="s">
        <v>64</v>
      </c>
      <c r="F11" s="206"/>
      <c r="G11" s="206"/>
      <c r="H11" s="126">
        <v>0</v>
      </c>
      <c r="I11" s="95"/>
      <c r="J11" s="99"/>
      <c r="K11" s="207" t="s">
        <v>145</v>
      </c>
      <c r="L11" s="207"/>
      <c r="M11" s="120">
        <f>'IRR (2)'!L24</f>
        <v>404009960</v>
      </c>
      <c r="N11" s="97"/>
    </row>
    <row r="12" spans="2:14" x14ac:dyDescent="0.3">
      <c r="B12" s="116" t="s">
        <v>63</v>
      </c>
      <c r="C12" s="117"/>
      <c r="D12" s="98"/>
      <c r="E12" s="206" t="s">
        <v>66</v>
      </c>
      <c r="F12" s="206"/>
      <c r="G12" s="206"/>
      <c r="H12" s="126">
        <v>0</v>
      </c>
      <c r="I12" s="95"/>
      <c r="J12" s="99"/>
      <c r="K12" s="207" t="s">
        <v>188</v>
      </c>
      <c r="L12" s="207"/>
      <c r="M12" s="173">
        <f>'IRR (2)'!L25</f>
        <v>274050000</v>
      </c>
      <c r="N12" s="97"/>
    </row>
    <row r="13" spans="2:14" x14ac:dyDescent="0.3">
      <c r="B13" s="116"/>
      <c r="C13" s="194"/>
      <c r="D13" s="98"/>
      <c r="E13" s="193"/>
      <c r="F13" s="193"/>
      <c r="G13" s="193"/>
      <c r="H13" s="126"/>
      <c r="I13" s="95"/>
      <c r="J13" s="99"/>
      <c r="K13" s="207" t="s">
        <v>146</v>
      </c>
      <c r="L13" s="207"/>
      <c r="M13" s="173">
        <f>'IRR (2)'!L26+'IRR (2)'!L27+'IRR (2)'!L28</f>
        <v>229990986.5</v>
      </c>
      <c r="N13" s="97"/>
    </row>
    <row r="14" spans="2:14" ht="16.2" thickBot="1" x14ac:dyDescent="0.35">
      <c r="B14" s="116" t="s">
        <v>65</v>
      </c>
      <c r="C14" s="117"/>
      <c r="D14" s="98"/>
      <c r="E14" s="206" t="s">
        <v>68</v>
      </c>
      <c r="F14" s="206"/>
      <c r="G14" s="206"/>
      <c r="H14" s="126">
        <v>0</v>
      </c>
      <c r="I14" s="95"/>
      <c r="J14" s="99"/>
      <c r="K14" s="207" t="s">
        <v>67</v>
      </c>
      <c r="L14" s="207"/>
      <c r="M14" s="120">
        <f>'IRR (2)'!L21</f>
        <v>1770049800</v>
      </c>
      <c r="N14" s="97"/>
    </row>
    <row r="15" spans="2:14" x14ac:dyDescent="0.3">
      <c r="B15" s="99"/>
      <c r="C15" s="95"/>
      <c r="D15" s="97"/>
      <c r="E15" s="208" t="s">
        <v>69</v>
      </c>
      <c r="F15" s="208"/>
      <c r="G15" s="208"/>
      <c r="H15" s="208"/>
      <c r="I15" s="208"/>
      <c r="J15" s="127"/>
      <c r="K15" s="209" t="s">
        <v>25</v>
      </c>
      <c r="L15" s="210"/>
      <c r="M15" s="181">
        <f>'IRR (2)'!F43</f>
        <v>0.19682208280165736</v>
      </c>
      <c r="N15" s="97"/>
    </row>
    <row r="16" spans="2:14" x14ac:dyDescent="0.3">
      <c r="B16" s="99"/>
      <c r="C16" s="95"/>
      <c r="D16" s="97"/>
      <c r="E16" s="95"/>
      <c r="F16" s="95" t="s">
        <v>180</v>
      </c>
      <c r="G16" s="95"/>
      <c r="H16" s="198">
        <v>870</v>
      </c>
      <c r="I16" s="95"/>
      <c r="J16" s="128"/>
      <c r="K16" s="200" t="s">
        <v>26</v>
      </c>
      <c r="L16" s="201"/>
      <c r="M16" s="141">
        <f>'IRR (2)'!F45</f>
        <v>136259778.84589338</v>
      </c>
      <c r="N16" s="97"/>
    </row>
    <row r="17" spans="2:18" x14ac:dyDescent="0.3">
      <c r="B17" s="99"/>
      <c r="C17" s="95"/>
      <c r="D17" s="97"/>
      <c r="E17" s="95"/>
      <c r="F17" s="95" t="s">
        <v>184</v>
      </c>
      <c r="G17" s="95"/>
      <c r="H17" s="199">
        <v>0.65</v>
      </c>
      <c r="I17" s="95"/>
      <c r="J17" s="128"/>
      <c r="K17" s="200" t="s">
        <v>27</v>
      </c>
      <c r="L17" s="201"/>
      <c r="M17" s="100">
        <f>'IRR (2)'!F46</f>
        <v>0.48699130018827719</v>
      </c>
      <c r="N17" s="97"/>
      <c r="R17" s="92" t="s">
        <v>42</v>
      </c>
    </row>
    <row r="18" spans="2:18" ht="16.2" thickBot="1" x14ac:dyDescent="0.35">
      <c r="B18" s="99"/>
      <c r="C18" s="95"/>
      <c r="D18" s="97"/>
      <c r="E18" s="95"/>
      <c r="F18" s="95"/>
      <c r="G18" s="95"/>
      <c r="H18" s="95"/>
      <c r="I18" s="95"/>
      <c r="J18" s="128"/>
      <c r="K18" s="202" t="s">
        <v>71</v>
      </c>
      <c r="L18" s="203"/>
      <c r="M18" s="142">
        <f>'IRR (2)'!F47</f>
        <v>3.864879347120306</v>
      </c>
      <c r="N18" s="97"/>
      <c r="Q18" s="92" t="s">
        <v>42</v>
      </c>
    </row>
    <row r="19" spans="2:18" ht="16.2" thickBot="1" x14ac:dyDescent="0.35">
      <c r="B19" s="101"/>
      <c r="C19" s="102"/>
      <c r="D19" s="103"/>
      <c r="E19" s="102"/>
      <c r="F19" s="102" t="s">
        <v>42</v>
      </c>
      <c r="G19" s="102"/>
      <c r="H19" s="102"/>
      <c r="I19" s="102"/>
      <c r="J19" s="99"/>
      <c r="K19" s="104"/>
      <c r="L19" s="114"/>
      <c r="M19" s="114"/>
      <c r="N19" s="97"/>
    </row>
    <row r="20" spans="2:18" x14ac:dyDescent="0.3">
      <c r="B20" s="106" t="s">
        <v>74</v>
      </c>
      <c r="C20" s="107"/>
      <c r="D20" s="107"/>
      <c r="E20" s="107"/>
      <c r="F20" s="107"/>
      <c r="G20" s="107"/>
      <c r="H20" s="107"/>
      <c r="I20" s="107"/>
      <c r="J20" s="107"/>
      <c r="L20" s="211" t="s">
        <v>76</v>
      </c>
      <c r="M20" s="211"/>
      <c r="N20" s="108"/>
    </row>
    <row r="21" spans="2:18" x14ac:dyDescent="0.3">
      <c r="B21" s="99" t="s">
        <v>73</v>
      </c>
      <c r="C21" s="95"/>
      <c r="D21" s="95"/>
      <c r="E21" s="95"/>
      <c r="F21" s="95"/>
      <c r="G21" s="95"/>
      <c r="H21" s="95"/>
      <c r="I21" s="95"/>
      <c r="J21" s="95"/>
      <c r="K21" s="95"/>
      <c r="L21" s="204" t="s">
        <v>189</v>
      </c>
      <c r="M21" s="205"/>
      <c r="N21" s="97"/>
    </row>
    <row r="22" spans="2:18" x14ac:dyDescent="0.3">
      <c r="B22" s="99"/>
      <c r="C22" s="95" t="s">
        <v>181</v>
      </c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7"/>
    </row>
    <row r="23" spans="2:18" x14ac:dyDescent="0.3">
      <c r="B23" s="99"/>
      <c r="C23" s="95"/>
      <c r="D23" s="95" t="s">
        <v>117</v>
      </c>
      <c r="E23" s="95"/>
      <c r="F23" s="95"/>
      <c r="G23" s="95"/>
      <c r="H23" s="95"/>
      <c r="I23" s="95"/>
      <c r="J23" s="95"/>
      <c r="K23" s="95"/>
      <c r="L23" s="95"/>
      <c r="M23" s="95"/>
      <c r="N23" s="97"/>
    </row>
    <row r="24" spans="2:18" x14ac:dyDescent="0.3">
      <c r="B24" s="99"/>
      <c r="C24" s="95"/>
      <c r="E24" s="95"/>
      <c r="F24" s="95"/>
      <c r="G24" s="95"/>
      <c r="H24" s="95"/>
      <c r="I24" s="95"/>
      <c r="J24" s="95"/>
      <c r="K24" s="95"/>
      <c r="L24" s="95"/>
      <c r="M24" s="95"/>
      <c r="N24" s="97"/>
    </row>
    <row r="25" spans="2:18" ht="16.2" thickBot="1" x14ac:dyDescent="0.35">
      <c r="B25" s="101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3"/>
    </row>
    <row r="26" spans="2:18" ht="2.4" customHeight="1" x14ac:dyDescent="0.3"/>
    <row r="27" spans="2:18" s="168" customFormat="1" x14ac:dyDescent="0.3">
      <c r="B27" s="169" t="s">
        <v>77</v>
      </c>
    </row>
    <row r="28" spans="2:18" s="168" customFormat="1" x14ac:dyDescent="0.3">
      <c r="B28" s="170"/>
      <c r="C28" s="170"/>
      <c r="D28" s="170"/>
      <c r="E28" s="170"/>
      <c r="F28" s="170"/>
      <c r="G28" s="170"/>
      <c r="H28" s="170"/>
      <c r="I28" s="170"/>
      <c r="J28" s="170"/>
      <c r="K28" s="170"/>
      <c r="L28" s="170"/>
      <c r="M28" s="170"/>
      <c r="N28" s="170"/>
      <c r="O28" s="170"/>
    </row>
    <row r="29" spans="2:18" s="168" customFormat="1" x14ac:dyDescent="0.3">
      <c r="B29" s="170"/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70"/>
    </row>
    <row r="30" spans="2:18" s="168" customFormat="1" x14ac:dyDescent="0.3">
      <c r="B30" s="170"/>
      <c r="C30" s="170"/>
      <c r="D30" s="170"/>
      <c r="E30" s="170"/>
      <c r="F30" s="170"/>
      <c r="G30" s="170"/>
      <c r="H30" s="170"/>
      <c r="I30" s="170"/>
      <c r="J30" s="170"/>
      <c r="K30" s="170"/>
      <c r="L30" s="170"/>
      <c r="M30" s="170"/>
      <c r="N30" s="170"/>
      <c r="O30" s="170"/>
    </row>
    <row r="31" spans="2:18" s="168" customFormat="1" x14ac:dyDescent="0.3">
      <c r="B31" s="170"/>
      <c r="C31" s="170"/>
      <c r="D31" s="170"/>
      <c r="E31" s="170"/>
      <c r="F31" s="170"/>
      <c r="G31" s="170"/>
      <c r="H31" s="170"/>
      <c r="I31" s="170"/>
      <c r="J31" s="170"/>
      <c r="K31" s="170"/>
      <c r="L31" s="170"/>
      <c r="M31" s="170"/>
      <c r="N31" s="170"/>
      <c r="O31" s="170"/>
    </row>
    <row r="32" spans="2:18" s="168" customFormat="1" x14ac:dyDescent="0.3">
      <c r="B32" s="170"/>
      <c r="C32" s="170"/>
      <c r="D32" s="170"/>
      <c r="E32" s="170"/>
      <c r="F32" s="170"/>
      <c r="G32" s="170"/>
      <c r="H32" s="170"/>
      <c r="I32" s="170"/>
      <c r="J32" s="170"/>
      <c r="K32" s="170"/>
      <c r="L32" s="170"/>
      <c r="M32" s="170"/>
      <c r="N32" s="170"/>
      <c r="O32" s="170"/>
    </row>
    <row r="33" spans="2:15" s="168" customFormat="1" x14ac:dyDescent="0.3">
      <c r="B33" s="170"/>
      <c r="C33" s="170"/>
      <c r="D33" s="170"/>
      <c r="E33" s="170"/>
      <c r="F33" s="170"/>
      <c r="G33" s="170"/>
      <c r="H33" s="170"/>
      <c r="I33" s="170"/>
      <c r="J33" s="170"/>
      <c r="K33" s="170"/>
      <c r="L33" s="170"/>
      <c r="M33" s="170"/>
      <c r="N33" s="170"/>
      <c r="O33" s="170"/>
    </row>
  </sheetData>
  <mergeCells count="29">
    <mergeCell ref="B5:D5"/>
    <mergeCell ref="E5:I5"/>
    <mergeCell ref="J5:N5"/>
    <mergeCell ref="B6:C6"/>
    <mergeCell ref="E6:I6"/>
    <mergeCell ref="K6:L6"/>
    <mergeCell ref="B8:C8"/>
    <mergeCell ref="E7:G7"/>
    <mergeCell ref="K7:L7"/>
    <mergeCell ref="E8:G8"/>
    <mergeCell ref="K8:L8"/>
    <mergeCell ref="E9:G9"/>
    <mergeCell ref="K9:L9"/>
    <mergeCell ref="E10:I10"/>
    <mergeCell ref="K10:L10"/>
    <mergeCell ref="E11:G11"/>
    <mergeCell ref="K11:L11"/>
    <mergeCell ref="K17:L17"/>
    <mergeCell ref="K18:L18"/>
    <mergeCell ref="L21:M21"/>
    <mergeCell ref="E12:G12"/>
    <mergeCell ref="K14:L14"/>
    <mergeCell ref="E14:G14"/>
    <mergeCell ref="E15:I15"/>
    <mergeCell ref="K15:L15"/>
    <mergeCell ref="K16:L16"/>
    <mergeCell ref="K12:L12"/>
    <mergeCell ref="L20:M20"/>
    <mergeCell ref="K13:L13"/>
  </mergeCells>
  <pageMargins left="0.54" right="0.7" top="0.75" bottom="0.75" header="0.3" footer="0.3"/>
  <pageSetup paperSize="9" scale="97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U58"/>
  <sheetViews>
    <sheetView showGridLines="0" zoomScale="90" zoomScaleNormal="90" workbookViewId="0">
      <selection activeCell="J46" sqref="J46"/>
    </sheetView>
  </sheetViews>
  <sheetFormatPr defaultColWidth="10.59765625" defaultRowHeight="15.6" x14ac:dyDescent="0.3"/>
  <cols>
    <col min="1" max="1" width="4.09765625" customWidth="1"/>
    <col min="2" max="2" width="3.59765625" customWidth="1"/>
    <col min="3" max="3" width="4.59765625" customWidth="1"/>
    <col min="4" max="4" width="18.796875" customWidth="1"/>
    <col min="5" max="5" width="7.19921875" bestFit="1" customWidth="1"/>
    <col min="6" max="6" width="16.796875" customWidth="1"/>
    <col min="7" max="11" width="17.59765625" style="2" customWidth="1"/>
    <col min="12" max="12" width="16.59765625" bestFit="1" customWidth="1"/>
    <col min="13" max="13" width="15.796875" customWidth="1"/>
    <col min="14" max="15" width="15" bestFit="1" customWidth="1"/>
    <col min="16" max="16" width="18.19921875" customWidth="1"/>
    <col min="17" max="17" width="25" customWidth="1"/>
    <col min="18" max="18" width="15.59765625" bestFit="1" customWidth="1"/>
    <col min="19" max="19" width="11.69921875" bestFit="1" customWidth="1"/>
  </cols>
  <sheetData>
    <row r="1" spans="2:21" ht="23.4" x14ac:dyDescent="0.45">
      <c r="B1" s="180"/>
      <c r="L1" s="179" t="str">
        <f>Summary!M1</f>
        <v>APARTEMEN ELPIS</v>
      </c>
    </row>
    <row r="2" spans="2:21" x14ac:dyDescent="0.3">
      <c r="B2" s="3" t="s">
        <v>0</v>
      </c>
      <c r="L2" s="178"/>
    </row>
    <row r="3" spans="2:21" x14ac:dyDescent="0.3">
      <c r="C3" t="s">
        <v>1</v>
      </c>
      <c r="F3" s="5">
        <v>0.02</v>
      </c>
      <c r="L3" s="4"/>
      <c r="M3" s="4"/>
      <c r="N3" s="4"/>
    </row>
    <row r="4" spans="2:21" x14ac:dyDescent="0.3">
      <c r="C4" t="s">
        <v>35</v>
      </c>
      <c r="F4" s="5">
        <v>0.1</v>
      </c>
      <c r="L4" s="4"/>
      <c r="M4" s="4"/>
      <c r="N4" s="4"/>
    </row>
    <row r="5" spans="2:21" x14ac:dyDescent="0.3">
      <c r="C5" t="s">
        <v>2</v>
      </c>
      <c r="F5" s="5">
        <v>0.02</v>
      </c>
      <c r="G5" s="2" t="s">
        <v>3</v>
      </c>
    </row>
    <row r="6" spans="2:21" x14ac:dyDescent="0.3">
      <c r="C6" t="s">
        <v>4</v>
      </c>
      <c r="F6" s="6">
        <v>0</v>
      </c>
      <c r="G6" s="2" t="s">
        <v>3</v>
      </c>
    </row>
    <row r="7" spans="2:21" x14ac:dyDescent="0.3">
      <c r="C7" t="s">
        <v>72</v>
      </c>
      <c r="F7" s="5">
        <v>0.15</v>
      </c>
    </row>
    <row r="8" spans="2:21" x14ac:dyDescent="0.3">
      <c r="C8" t="s">
        <v>118</v>
      </c>
      <c r="F8" s="144">
        <f>'Apt Elpis '!C16</f>
        <v>267000</v>
      </c>
      <c r="G8" s="2" t="s">
        <v>170</v>
      </c>
    </row>
    <row r="9" spans="2:21" x14ac:dyDescent="0.3">
      <c r="C9" t="s">
        <v>165</v>
      </c>
      <c r="F9" s="144">
        <v>870</v>
      </c>
      <c r="J9" s="11"/>
      <c r="K9" s="11"/>
      <c r="L9" s="12"/>
    </row>
    <row r="10" spans="2:21" x14ac:dyDescent="0.3">
      <c r="C10" t="s">
        <v>171</v>
      </c>
      <c r="F10" s="5">
        <v>0.65</v>
      </c>
      <c r="I10" s="86"/>
    </row>
    <row r="11" spans="2:21" ht="4.8" customHeight="1" x14ac:dyDescent="0.3">
      <c r="B11" s="1"/>
      <c r="G11" s="29" t="s">
        <v>34</v>
      </c>
      <c r="H11" s="29"/>
      <c r="I11" s="29"/>
      <c r="J11" s="29"/>
      <c r="K11" s="29"/>
      <c r="L11" s="22"/>
      <c r="M11" s="38"/>
      <c r="N11" s="38"/>
      <c r="O11" s="39"/>
      <c r="P11" s="38"/>
      <c r="Q11" s="38"/>
      <c r="R11" s="38"/>
      <c r="S11" s="38"/>
      <c r="T11" s="38"/>
    </row>
    <row r="12" spans="2:21" s="81" customFormat="1" ht="16.2" thickBot="1" x14ac:dyDescent="0.35">
      <c r="B12" s="88" t="s">
        <v>176</v>
      </c>
      <c r="F12" s="87">
        <v>264400000</v>
      </c>
      <c r="G12" s="82">
        <f>F12</f>
        <v>264400000</v>
      </c>
      <c r="H12" s="83"/>
      <c r="I12" s="83"/>
      <c r="J12" s="83"/>
      <c r="K12" s="83"/>
      <c r="M12" s="83"/>
      <c r="N12" s="83"/>
      <c r="O12" s="84"/>
      <c r="P12" s="83"/>
      <c r="Q12" s="83"/>
      <c r="R12" s="83"/>
      <c r="S12" s="83"/>
      <c r="T12" s="83"/>
    </row>
    <row r="13" spans="2:21" s="81" customFormat="1" ht="16.2" thickTop="1" x14ac:dyDescent="0.3">
      <c r="B13" s="88" t="s">
        <v>177</v>
      </c>
      <c r="F13" s="87">
        <v>261500</v>
      </c>
      <c r="G13" s="83">
        <f>$F$13*G$16*$F$9</f>
        <v>34125750</v>
      </c>
      <c r="H13" s="83">
        <f t="shared" ref="H13:K13" si="0">$F$13*H$16*$F$9</f>
        <v>34125750</v>
      </c>
      <c r="I13" s="83">
        <f t="shared" si="0"/>
        <v>34125750</v>
      </c>
      <c r="J13" s="83">
        <f t="shared" si="0"/>
        <v>11375250</v>
      </c>
      <c r="K13" s="83">
        <f t="shared" si="0"/>
        <v>0</v>
      </c>
      <c r="M13" s="83"/>
      <c r="N13" s="83"/>
      <c r="O13" s="84"/>
      <c r="P13" s="83"/>
      <c r="Q13" s="83"/>
      <c r="R13" s="83"/>
      <c r="S13" s="83"/>
      <c r="T13" s="83"/>
    </row>
    <row r="14" spans="2:21" s="81" customFormat="1" ht="6.6" customHeight="1" x14ac:dyDescent="0.3">
      <c r="B14" s="88"/>
      <c r="F14" s="87"/>
      <c r="G14" s="83"/>
      <c r="H14" s="83"/>
      <c r="I14" s="83"/>
      <c r="J14" s="83"/>
      <c r="K14" s="83"/>
      <c r="L14" s="86"/>
      <c r="M14" s="83"/>
      <c r="N14" s="83"/>
      <c r="O14" s="84"/>
      <c r="P14" s="83"/>
      <c r="Q14" s="83"/>
      <c r="R14" s="83"/>
      <c r="S14" s="83"/>
      <c r="T14" s="83"/>
    </row>
    <row r="15" spans="2:21" ht="16.2" thickBot="1" x14ac:dyDescent="0.35">
      <c r="F15" s="9"/>
      <c r="G15" s="8">
        <v>2025</v>
      </c>
      <c r="H15" s="8">
        <f>G15+1</f>
        <v>2026</v>
      </c>
      <c r="I15" s="8">
        <f>H15+1</f>
        <v>2027</v>
      </c>
      <c r="J15" s="8">
        <f>I15+1</f>
        <v>2028</v>
      </c>
      <c r="K15" s="8">
        <f>J15+1</f>
        <v>2029</v>
      </c>
      <c r="L15" s="22"/>
      <c r="O15" s="37"/>
      <c r="P15" s="37"/>
      <c r="Q15" s="37"/>
      <c r="R15" s="37"/>
      <c r="S15" s="37"/>
      <c r="T15" s="37"/>
      <c r="U15" s="37"/>
    </row>
    <row r="16" spans="2:21" ht="16.2" thickBot="1" x14ac:dyDescent="0.35">
      <c r="B16" s="10" t="s">
        <v>10</v>
      </c>
      <c r="C16" s="7"/>
      <c r="D16" s="7"/>
      <c r="E16" s="7" t="s">
        <v>174</v>
      </c>
      <c r="F16" s="7"/>
      <c r="G16" s="197">
        <v>0.15</v>
      </c>
      <c r="H16" s="197">
        <v>0.15</v>
      </c>
      <c r="I16" s="197">
        <v>0.15</v>
      </c>
      <c r="J16" s="197">
        <v>0.05</v>
      </c>
      <c r="K16" s="197">
        <v>0</v>
      </c>
      <c r="L16" s="67" t="s">
        <v>11</v>
      </c>
      <c r="M16" s="52"/>
      <c r="N16" s="52"/>
      <c r="O16" s="151" t="s">
        <v>128</v>
      </c>
      <c r="P16" s="158" t="s">
        <v>129</v>
      </c>
      <c r="Q16" s="152" t="s">
        <v>130</v>
      </c>
      <c r="R16" s="52"/>
      <c r="S16" s="37"/>
      <c r="T16" s="37"/>
      <c r="U16" s="37"/>
    </row>
    <row r="17" spans="2:19" x14ac:dyDescent="0.3">
      <c r="B17" t="s">
        <v>12</v>
      </c>
      <c r="G17" s="8">
        <v>12</v>
      </c>
      <c r="H17" s="8">
        <v>12</v>
      </c>
      <c r="I17" s="8">
        <v>12</v>
      </c>
      <c r="J17" s="8">
        <v>12</v>
      </c>
      <c r="K17" s="8">
        <v>12</v>
      </c>
      <c r="L17" s="68"/>
      <c r="O17" s="149" t="s">
        <v>131</v>
      </c>
      <c r="P17" s="153">
        <f>G12</f>
        <v>264400000</v>
      </c>
      <c r="Q17" s="156" t="s">
        <v>125</v>
      </c>
    </row>
    <row r="18" spans="2:19" ht="3" customHeight="1" x14ac:dyDescent="0.3">
      <c r="L18" s="68"/>
      <c r="O18" s="227" t="s">
        <v>126</v>
      </c>
      <c r="P18" s="154">
        <f>G24</f>
        <v>91812200</v>
      </c>
      <c r="Q18" s="156" t="s">
        <v>140</v>
      </c>
    </row>
    <row r="19" spans="2:19" ht="2.4" customHeight="1" x14ac:dyDescent="0.3">
      <c r="E19" s="15"/>
      <c r="G19" s="167"/>
      <c r="H19" s="16"/>
      <c r="I19" s="16"/>
      <c r="J19" s="16"/>
      <c r="K19" s="16"/>
      <c r="L19" s="68"/>
      <c r="O19" s="227"/>
      <c r="P19" s="154">
        <f>G28</f>
        <v>20000000</v>
      </c>
      <c r="Q19" s="156" t="s">
        <v>2</v>
      </c>
    </row>
    <row r="20" spans="2:19" ht="16.2" thickBot="1" x14ac:dyDescent="0.35">
      <c r="B20" s="1" t="s">
        <v>175</v>
      </c>
      <c r="E20" s="163">
        <v>0.5</v>
      </c>
      <c r="F20" s="15" t="s">
        <v>143</v>
      </c>
      <c r="G20" s="143">
        <f>$F$8*G$17*$F$9*G$16*$E$20</f>
        <v>209061000</v>
      </c>
      <c r="H20" s="143">
        <f>($F$8*H$17*$F$9*H$16*$E$20)+G20</f>
        <v>418122000</v>
      </c>
      <c r="I20" s="143">
        <f>($F$8*I$17*$F$9*I$16*$E$20)+H20</f>
        <v>627183000</v>
      </c>
      <c r="J20" s="143">
        <f>($F$8*J$17*$F$9*J$16*$E$20)+I20</f>
        <v>696870000</v>
      </c>
      <c r="K20" s="143">
        <f>($F$8*K$17*$F$9*K$16*$E$20)+J20</f>
        <v>696870000</v>
      </c>
      <c r="L20" s="177">
        <f>SUM(G20:K20)</f>
        <v>2648106000</v>
      </c>
      <c r="O20" s="150" t="s">
        <v>73</v>
      </c>
      <c r="P20" s="155">
        <f>G20</f>
        <v>209061000</v>
      </c>
      <c r="Q20" s="157" t="s">
        <v>127</v>
      </c>
    </row>
    <row r="21" spans="2:19" ht="16.2" thickBot="1" x14ac:dyDescent="0.35">
      <c r="B21" s="62" t="s">
        <v>120</v>
      </c>
      <c r="C21" s="62"/>
      <c r="D21" s="62"/>
      <c r="E21" s="225"/>
      <c r="F21" s="226"/>
      <c r="G21" s="63">
        <f>SUM(G20:G20)</f>
        <v>209061000</v>
      </c>
      <c r="H21" s="63">
        <f t="shared" ref="H21:K21" si="1">SUM(H20:H20)</f>
        <v>418122000</v>
      </c>
      <c r="I21" s="63">
        <f t="shared" si="1"/>
        <v>627183000</v>
      </c>
      <c r="J21" s="63">
        <f t="shared" si="1"/>
        <v>696870000</v>
      </c>
      <c r="K21" s="63">
        <f t="shared" si="1"/>
        <v>696870000</v>
      </c>
      <c r="L21" s="69">
        <f>SUM(G21:K21)</f>
        <v>2648106000</v>
      </c>
      <c r="M21" s="41"/>
      <c r="N21" s="41"/>
      <c r="O21" s="41"/>
      <c r="P21" s="41"/>
      <c r="Q21" s="41"/>
      <c r="R21" s="41"/>
      <c r="S21" s="43"/>
    </row>
    <row r="22" spans="2:19" ht="3" customHeight="1" x14ac:dyDescent="0.3">
      <c r="L22" s="68"/>
      <c r="M22" s="43"/>
      <c r="N22" s="43"/>
      <c r="O22" s="228" t="s">
        <v>25</v>
      </c>
      <c r="P22" s="229"/>
      <c r="Q22" s="159">
        <f>F43</f>
        <v>0.65014867031953849</v>
      </c>
      <c r="R22" s="43"/>
    </row>
    <row r="23" spans="2:19" x14ac:dyDescent="0.3">
      <c r="B23" s="1" t="s">
        <v>13</v>
      </c>
      <c r="E23" s="15"/>
      <c r="F23" s="15"/>
      <c r="G23" s="16"/>
      <c r="H23" s="16"/>
      <c r="I23" s="16"/>
      <c r="J23" s="16"/>
      <c r="K23" s="16"/>
      <c r="L23" s="70"/>
      <c r="M23" s="44"/>
      <c r="N23" s="44"/>
      <c r="O23" s="221" t="s">
        <v>26</v>
      </c>
      <c r="P23" s="222"/>
      <c r="Q23" s="160">
        <f>F45</f>
        <v>811483179.91882038</v>
      </c>
      <c r="R23" s="43"/>
    </row>
    <row r="24" spans="2:19" x14ac:dyDescent="0.3">
      <c r="B24" s="1"/>
      <c r="C24" t="s">
        <v>124</v>
      </c>
      <c r="E24" s="163">
        <v>0.2</v>
      </c>
      <c r="F24" s="15" t="s">
        <v>143</v>
      </c>
      <c r="G24" s="11">
        <f>G21*20%+50000000</f>
        <v>91812200</v>
      </c>
      <c r="H24" s="11">
        <f t="shared" ref="H24:J24" si="2">H21*20%</f>
        <v>83624400</v>
      </c>
      <c r="I24" s="11">
        <f t="shared" si="2"/>
        <v>125436600</v>
      </c>
      <c r="J24" s="11">
        <f t="shared" si="2"/>
        <v>139374000</v>
      </c>
      <c r="K24" s="11">
        <f>K21*20%</f>
        <v>139374000</v>
      </c>
      <c r="L24" s="71">
        <f>SUM(G24:K24)</f>
        <v>579621200</v>
      </c>
      <c r="M24" s="44"/>
      <c r="N24" s="44"/>
      <c r="O24" s="221" t="s">
        <v>27</v>
      </c>
      <c r="P24" s="222"/>
      <c r="Q24" s="161">
        <f>F46</f>
        <v>0.67188587616960949</v>
      </c>
      <c r="R24" s="43"/>
    </row>
    <row r="25" spans="2:19" ht="2.4" customHeight="1" thickBot="1" x14ac:dyDescent="0.35">
      <c r="C25" t="s">
        <v>14</v>
      </c>
      <c r="F25" s="109"/>
      <c r="G25" s="11">
        <v>0</v>
      </c>
      <c r="H25" s="11"/>
      <c r="I25" s="11"/>
      <c r="J25" s="11"/>
      <c r="K25" s="11"/>
      <c r="L25" s="71">
        <f t="shared" ref="L25:L27" si="3">SUM(G25:K25)</f>
        <v>0</v>
      </c>
      <c r="M25" s="41"/>
      <c r="N25" s="41"/>
      <c r="O25" s="223" t="s">
        <v>28</v>
      </c>
      <c r="P25" s="224"/>
      <c r="Q25" s="162">
        <f>F47</f>
        <v>2.0560272527697689</v>
      </c>
      <c r="R25" s="42"/>
    </row>
    <row r="26" spans="2:19" x14ac:dyDescent="0.3">
      <c r="C26" t="s">
        <v>144</v>
      </c>
      <c r="E26" s="171">
        <v>0.05</v>
      </c>
      <c r="F26" s="15" t="s">
        <v>143</v>
      </c>
      <c r="G26" s="105">
        <f>G21*$E$26</f>
        <v>10453050</v>
      </c>
      <c r="H26" s="105">
        <f>H21*$E$26</f>
        <v>20906100</v>
      </c>
      <c r="I26" s="105">
        <f>I21*$E$26</f>
        <v>31359150</v>
      </c>
      <c r="J26" s="105">
        <f t="shared" ref="J26:K26" si="4">J21*$E$26</f>
        <v>34843500</v>
      </c>
      <c r="K26" s="105">
        <f t="shared" si="4"/>
        <v>34843500</v>
      </c>
      <c r="L26" s="71">
        <f t="shared" si="3"/>
        <v>132405300</v>
      </c>
      <c r="M26" s="41"/>
      <c r="N26" s="41"/>
      <c r="O26" s="41"/>
      <c r="P26" s="41"/>
      <c r="Q26" s="41"/>
      <c r="R26" s="42"/>
      <c r="S26" s="43"/>
    </row>
    <row r="27" spans="2:19" x14ac:dyDescent="0.3">
      <c r="C27" t="s">
        <v>142</v>
      </c>
      <c r="E27" s="172">
        <v>1.7500000000000002E-2</v>
      </c>
      <c r="F27" s="15" t="s">
        <v>143</v>
      </c>
      <c r="G27" s="105">
        <f>G21*$E$27</f>
        <v>3658567.5000000005</v>
      </c>
      <c r="H27" s="105">
        <f t="shared" ref="H27:K27" si="5">H21*$E$27</f>
        <v>7317135.0000000009</v>
      </c>
      <c r="I27" s="105">
        <f t="shared" si="5"/>
        <v>10975702.500000002</v>
      </c>
      <c r="J27" s="105">
        <f t="shared" si="5"/>
        <v>12195225.000000002</v>
      </c>
      <c r="K27" s="105">
        <f t="shared" si="5"/>
        <v>12195225.000000002</v>
      </c>
      <c r="L27" s="71">
        <f t="shared" si="3"/>
        <v>46341855.000000007</v>
      </c>
      <c r="M27" s="41"/>
      <c r="N27" s="41"/>
      <c r="O27" s="41"/>
      <c r="P27" s="41"/>
      <c r="Q27" s="41"/>
      <c r="R27" s="42"/>
      <c r="S27" s="43"/>
    </row>
    <row r="28" spans="2:19" x14ac:dyDescent="0.3">
      <c r="B28" s="13"/>
      <c r="C28" s="13" t="s">
        <v>2</v>
      </c>
      <c r="D28" s="13"/>
      <c r="E28" s="13"/>
      <c r="F28" s="13"/>
      <c r="G28" s="17">
        <v>20000000</v>
      </c>
      <c r="H28" s="17">
        <f>G28*105%</f>
        <v>21000000</v>
      </c>
      <c r="I28" s="17">
        <f>H28*105%</f>
        <v>22050000</v>
      </c>
      <c r="J28" s="17">
        <f>I28*105%</f>
        <v>23152500</v>
      </c>
      <c r="K28" s="17">
        <f>J28*105%</f>
        <v>24310125</v>
      </c>
      <c r="L28" s="71">
        <f>SUM(G28:K28)</f>
        <v>110512625</v>
      </c>
      <c r="M28" s="45"/>
      <c r="N28" s="45"/>
      <c r="O28" s="45"/>
      <c r="P28" s="45"/>
      <c r="Q28" s="45"/>
      <c r="R28" s="42"/>
      <c r="S28" s="43"/>
    </row>
    <row r="29" spans="2:19" s="1" customFormat="1" x14ac:dyDescent="0.3">
      <c r="B29" s="62" t="s">
        <v>15</v>
      </c>
      <c r="C29" s="62"/>
      <c r="D29" s="62"/>
      <c r="E29" s="62"/>
      <c r="F29" s="62"/>
      <c r="G29" s="63">
        <f>SUM(G24:G28)</f>
        <v>125923817.5</v>
      </c>
      <c r="H29" s="63">
        <f t="shared" ref="H29:J29" si="6">SUM(H24:H28)</f>
        <v>132847635</v>
      </c>
      <c r="I29" s="63">
        <f>SUM(I24:I28)</f>
        <v>189821452.5</v>
      </c>
      <c r="J29" s="63">
        <f t="shared" si="6"/>
        <v>209565225</v>
      </c>
      <c r="K29" s="63">
        <f>SUM(K24:K28)</f>
        <v>210722850</v>
      </c>
      <c r="L29" s="85">
        <f>SUM(L24:L28)</f>
        <v>868880980</v>
      </c>
      <c r="M29" s="46"/>
      <c r="N29" s="46"/>
      <c r="O29" s="46"/>
      <c r="P29" s="46"/>
      <c r="Q29" s="46"/>
      <c r="R29" s="46"/>
      <c r="S29" s="47"/>
    </row>
    <row r="30" spans="2:19" s="1" customFormat="1" x14ac:dyDescent="0.3">
      <c r="B30" s="1" t="s">
        <v>16</v>
      </c>
      <c r="G30" s="18">
        <f t="shared" ref="G30:L30" si="7">G21-G29</f>
        <v>83137182.5</v>
      </c>
      <c r="H30" s="18">
        <f t="shared" si="7"/>
        <v>285274365</v>
      </c>
      <c r="I30" s="18">
        <f t="shared" si="7"/>
        <v>437361547.5</v>
      </c>
      <c r="J30" s="18">
        <f t="shared" si="7"/>
        <v>487304775</v>
      </c>
      <c r="K30" s="18">
        <f t="shared" si="7"/>
        <v>486147150</v>
      </c>
      <c r="L30" s="72">
        <f t="shared" si="7"/>
        <v>1779225020</v>
      </c>
      <c r="M30" s="46"/>
      <c r="N30" s="46"/>
      <c r="O30" s="46"/>
      <c r="P30" s="46"/>
      <c r="Q30" s="46"/>
      <c r="R30" s="46"/>
      <c r="S30" s="47"/>
    </row>
    <row r="31" spans="2:19" s="1" customFormat="1" x14ac:dyDescent="0.3">
      <c r="B31" s="19" t="s">
        <v>17</v>
      </c>
      <c r="C31" s="20"/>
      <c r="D31" s="20"/>
      <c r="E31" s="20"/>
      <c r="F31" s="20"/>
      <c r="G31" s="21">
        <f t="shared" ref="G31:K31" si="8">G30/G21</f>
        <v>0.39766949598442558</v>
      </c>
      <c r="H31" s="21">
        <f t="shared" si="8"/>
        <v>0.68227542439766387</v>
      </c>
      <c r="I31" s="21">
        <f t="shared" si="8"/>
        <v>0.69734279707836466</v>
      </c>
      <c r="J31" s="21">
        <f t="shared" si="8"/>
        <v>0.69927644323905458</v>
      </c>
      <c r="K31" s="21">
        <f t="shared" si="8"/>
        <v>0.69761526540100738</v>
      </c>
      <c r="L31" s="73">
        <f>L30/L21</f>
        <v>0.67188587616960949</v>
      </c>
      <c r="M31" s="48"/>
      <c r="N31" s="48"/>
      <c r="O31" s="48"/>
      <c r="P31" s="48"/>
      <c r="Q31" s="48"/>
      <c r="R31" s="48"/>
      <c r="S31" s="47"/>
    </row>
    <row r="32" spans="2:19" x14ac:dyDescent="0.3">
      <c r="B32" s="13" t="s">
        <v>18</v>
      </c>
      <c r="C32" s="13"/>
      <c r="D32" s="13"/>
      <c r="E32" s="13"/>
      <c r="F32" s="13"/>
      <c r="G32" s="14">
        <f>G55</f>
        <v>59705150</v>
      </c>
      <c r="H32" s="14">
        <f t="shared" ref="H32:K32" si="9">H55</f>
        <v>68236587.5</v>
      </c>
      <c r="I32" s="14">
        <f>I55</f>
        <v>79611837.5</v>
      </c>
      <c r="J32" s="14">
        <f t="shared" si="9"/>
        <v>85299462.5</v>
      </c>
      <c r="K32" s="14">
        <f t="shared" si="9"/>
        <v>85299462.5</v>
      </c>
      <c r="L32" s="74">
        <f>SUM(G32:K32)</f>
        <v>378152500</v>
      </c>
      <c r="M32" s="41"/>
      <c r="N32" s="41"/>
      <c r="O32" s="41"/>
      <c r="P32" s="41"/>
      <c r="Q32" s="41"/>
      <c r="R32" s="41"/>
      <c r="S32" s="43"/>
    </row>
    <row r="33" spans="2:19" x14ac:dyDescent="0.3">
      <c r="B33" s="22" t="s">
        <v>19</v>
      </c>
      <c r="G33" s="23">
        <f t="shared" ref="G33:K33" si="10">G30-G32</f>
        <v>23432032.5</v>
      </c>
      <c r="H33" s="23">
        <f t="shared" si="10"/>
        <v>217037777.5</v>
      </c>
      <c r="I33" s="23">
        <f t="shared" si="10"/>
        <v>357749710</v>
      </c>
      <c r="J33" s="23">
        <f>J30-J32</f>
        <v>402005312.5</v>
      </c>
      <c r="K33" s="23">
        <f t="shared" si="10"/>
        <v>400847687.5</v>
      </c>
      <c r="L33" s="75">
        <f>L30-L32</f>
        <v>1401072520</v>
      </c>
      <c r="M33" s="49"/>
      <c r="N33" s="49"/>
      <c r="O33" s="49"/>
      <c r="P33" s="49"/>
      <c r="Q33" s="49"/>
      <c r="R33" s="49"/>
      <c r="S33" s="43"/>
    </row>
    <row r="34" spans="2:19" x14ac:dyDescent="0.3">
      <c r="B34" s="22" t="s">
        <v>32</v>
      </c>
      <c r="G34" s="65">
        <f>PARAMETER!B6</f>
        <v>18838862.5</v>
      </c>
      <c r="H34" s="65">
        <f>PARAMETER!C6</f>
        <v>33909952.5</v>
      </c>
      <c r="I34" s="65">
        <f>PARAMETER!D6</f>
        <v>26374407.5</v>
      </c>
      <c r="J34" s="65">
        <f>PARAMETER!E6</f>
        <v>18838862.5</v>
      </c>
      <c r="K34" s="65">
        <f>PARAMETER!F6</f>
        <v>11303317.5</v>
      </c>
      <c r="L34" s="89">
        <f>SUM(G34:K34)</f>
        <v>109265402.5</v>
      </c>
      <c r="M34" s="49"/>
      <c r="N34" s="49"/>
      <c r="O34" s="49"/>
      <c r="P34" s="49"/>
      <c r="Q34" s="49"/>
      <c r="R34" s="49"/>
      <c r="S34" s="43"/>
    </row>
    <row r="35" spans="2:19" x14ac:dyDescent="0.3">
      <c r="B35" s="22" t="s">
        <v>33</v>
      </c>
      <c r="G35" s="65">
        <f t="shared" ref="G35:K35" si="11">G33-G34</f>
        <v>4593170</v>
      </c>
      <c r="H35" s="65">
        <f t="shared" si="11"/>
        <v>183127825</v>
      </c>
      <c r="I35" s="65">
        <f t="shared" si="11"/>
        <v>331375302.5</v>
      </c>
      <c r="J35" s="65">
        <f t="shared" si="11"/>
        <v>383166450</v>
      </c>
      <c r="K35" s="65">
        <f t="shared" si="11"/>
        <v>389544370</v>
      </c>
      <c r="L35" s="89">
        <f>SUM(G35:K35)</f>
        <v>1291807117.5</v>
      </c>
      <c r="M35" s="49"/>
      <c r="N35" s="49"/>
      <c r="O35" s="49"/>
      <c r="P35" s="49"/>
      <c r="Q35" s="49"/>
      <c r="R35" s="49"/>
      <c r="S35" s="43"/>
    </row>
    <row r="36" spans="2:19" x14ac:dyDescent="0.3">
      <c r="B36" s="13" t="s">
        <v>20</v>
      </c>
      <c r="C36" s="13"/>
      <c r="D36" s="13"/>
      <c r="E36" s="13"/>
      <c r="F36" s="13"/>
      <c r="G36" s="64">
        <f>IF(G35&lt;0,0,G35*$F$3)</f>
        <v>91863.400000000009</v>
      </c>
      <c r="H36" s="64">
        <f t="shared" ref="H36:K36" si="12">IF(H35&lt;0,0,H35*$F$3)</f>
        <v>3662556.5</v>
      </c>
      <c r="I36" s="64">
        <f t="shared" si="12"/>
        <v>6627506.0499999998</v>
      </c>
      <c r="J36" s="64">
        <f t="shared" si="12"/>
        <v>7663329</v>
      </c>
      <c r="K36" s="64">
        <f t="shared" si="12"/>
        <v>7790887.4000000004</v>
      </c>
      <c r="L36" s="76">
        <f>SUM(G36:K36)</f>
        <v>25836142.350000001</v>
      </c>
      <c r="M36" s="51"/>
      <c r="N36" s="51"/>
      <c r="O36" s="51"/>
      <c r="P36" s="51"/>
      <c r="Q36" s="51"/>
      <c r="R36" s="50"/>
      <c r="S36" s="43"/>
    </row>
    <row r="37" spans="2:19" ht="16.2" thickBot="1" x14ac:dyDescent="0.35">
      <c r="B37" s="25" t="s">
        <v>41</v>
      </c>
      <c r="C37" s="25"/>
      <c r="D37" s="25"/>
      <c r="E37" s="25"/>
      <c r="F37" s="25"/>
      <c r="G37" s="26">
        <f>G35-G36</f>
        <v>4501306.5999999996</v>
      </c>
      <c r="H37" s="26">
        <f t="shared" ref="H37:J37" si="13">H35-H36</f>
        <v>179465268.5</v>
      </c>
      <c r="I37" s="26">
        <f t="shared" si="13"/>
        <v>324747796.44999999</v>
      </c>
      <c r="J37" s="26">
        <f t="shared" si="13"/>
        <v>375503121</v>
      </c>
      <c r="K37" s="26">
        <f>K35-K36</f>
        <v>381753482.60000002</v>
      </c>
      <c r="L37" s="77">
        <f>L35-L36</f>
        <v>1265970975.1500001</v>
      </c>
      <c r="M37" s="49"/>
      <c r="N37" s="49"/>
      <c r="O37" s="49"/>
      <c r="P37" s="49"/>
      <c r="Q37" s="49"/>
      <c r="R37" s="49"/>
      <c r="S37" s="43"/>
    </row>
    <row r="38" spans="2:19" x14ac:dyDescent="0.3">
      <c r="L38" s="68"/>
      <c r="M38" s="43"/>
      <c r="N38" s="43"/>
      <c r="O38" s="43"/>
      <c r="P38" s="43"/>
      <c r="Q38" s="43"/>
      <c r="R38" s="43"/>
      <c r="S38" s="43"/>
    </row>
    <row r="39" spans="2:19" x14ac:dyDescent="0.3">
      <c r="B39" s="13" t="s">
        <v>21</v>
      </c>
      <c r="C39" s="13"/>
      <c r="D39" s="13"/>
      <c r="E39" s="13"/>
      <c r="F39" s="27">
        <f>-G13+-G12</f>
        <v>-298525750</v>
      </c>
      <c r="G39" s="27"/>
      <c r="H39" s="27">
        <f>-H13</f>
        <v>-34125750</v>
      </c>
      <c r="I39" s="27">
        <f t="shared" ref="I39:K39" si="14">-I13</f>
        <v>-34125750</v>
      </c>
      <c r="J39" s="27">
        <f t="shared" si="14"/>
        <v>-11375250</v>
      </c>
      <c r="K39" s="27">
        <f t="shared" si="14"/>
        <v>0</v>
      </c>
      <c r="L39" s="78"/>
      <c r="M39" s="50"/>
      <c r="N39" s="50"/>
      <c r="O39" s="50"/>
      <c r="P39" s="50"/>
      <c r="Q39" s="50"/>
      <c r="R39" s="50"/>
      <c r="S39" s="43"/>
    </row>
    <row r="40" spans="2:19" x14ac:dyDescent="0.3">
      <c r="B40" t="s">
        <v>22</v>
      </c>
      <c r="F40" s="24">
        <f>F39</f>
        <v>-298525750</v>
      </c>
      <c r="G40" s="24">
        <f t="shared" ref="G40:K40" si="15">G39+G37+G32</f>
        <v>64206456.600000001</v>
      </c>
      <c r="H40" s="24">
        <f t="shared" si="15"/>
        <v>213576106</v>
      </c>
      <c r="I40" s="24">
        <f t="shared" si="15"/>
        <v>370233883.94999999</v>
      </c>
      <c r="J40" s="24">
        <f t="shared" si="15"/>
        <v>449427333.5</v>
      </c>
      <c r="K40" s="24">
        <f t="shared" si="15"/>
        <v>467052945.10000002</v>
      </c>
      <c r="L40" s="79">
        <f>SUM(F40:K40)</f>
        <v>1265970975.1500001</v>
      </c>
      <c r="M40" s="50"/>
      <c r="N40" s="50"/>
      <c r="O40" s="50"/>
      <c r="P40" s="50"/>
      <c r="Q40" s="50"/>
      <c r="R40" s="50"/>
      <c r="S40" s="43"/>
    </row>
    <row r="41" spans="2:19" x14ac:dyDescent="0.3">
      <c r="B41" t="s">
        <v>23</v>
      </c>
      <c r="F41" s="24">
        <f>F40</f>
        <v>-298525750</v>
      </c>
      <c r="G41" s="24">
        <f>F41+G40</f>
        <v>-234319293.40000001</v>
      </c>
      <c r="H41" s="24">
        <f>G41+H40</f>
        <v>-20743187.400000006</v>
      </c>
      <c r="I41" s="24">
        <f>H41+I40</f>
        <v>349490696.54999995</v>
      </c>
      <c r="J41" s="24">
        <f t="shared" ref="J41" si="16">I41+J40</f>
        <v>798918030.04999995</v>
      </c>
      <c r="K41" s="24">
        <f>J41+K40</f>
        <v>1265970975.1500001</v>
      </c>
      <c r="L41" s="79"/>
      <c r="M41" s="50"/>
      <c r="N41" s="50"/>
      <c r="O41" s="50"/>
      <c r="P41" s="50"/>
      <c r="Q41" s="50"/>
      <c r="R41" s="50"/>
      <c r="S41" s="43"/>
    </row>
    <row r="42" spans="2:19" x14ac:dyDescent="0.3">
      <c r="B42" t="s">
        <v>24</v>
      </c>
      <c r="F42" s="24"/>
      <c r="G42" s="28">
        <f>IF(AND(F41&lt;0,G41&gt;0),G48-(G41/G40),0)</f>
        <v>0</v>
      </c>
      <c r="H42" s="28">
        <f>IF(AND(G41&lt;0,H41&gt;0),H48-(H41/H40),0)</f>
        <v>0</v>
      </c>
      <c r="I42" s="28">
        <f>IF(AND(H41&lt;0,I41&gt;0),I48-(I41/I40),0)</f>
        <v>2.0560272527697689</v>
      </c>
      <c r="J42" s="28">
        <f t="shared" ref="J42:K42" si="17">IF(AND(I41&lt;0,J41&gt;0),J48-(J41/J40),0)</f>
        <v>0</v>
      </c>
      <c r="K42" s="28">
        <f t="shared" si="17"/>
        <v>0</v>
      </c>
      <c r="L42" s="80"/>
      <c r="M42" s="28"/>
      <c r="N42" s="28"/>
      <c r="O42" s="28"/>
      <c r="P42" s="28"/>
      <c r="Q42" s="28"/>
      <c r="R42" s="28"/>
    </row>
    <row r="43" spans="2:19" x14ac:dyDescent="0.3">
      <c r="B43" s="53" t="s">
        <v>25</v>
      </c>
      <c r="C43" s="54"/>
      <c r="D43" s="54"/>
      <c r="E43" s="54"/>
      <c r="F43" s="90">
        <f>IRR(F40:K40)</f>
        <v>0.65014867031953849</v>
      </c>
    </row>
    <row r="44" spans="2:19" x14ac:dyDescent="0.3">
      <c r="B44" s="55" t="s">
        <v>169</v>
      </c>
      <c r="C44" s="56"/>
      <c r="D44" s="56"/>
      <c r="E44" s="56"/>
      <c r="F44" s="191" cm="1">
        <f t="array" ref="F44">AVERAGE(G37:K37/G12)</f>
        <v>0.9576179842284418</v>
      </c>
    </row>
    <row r="45" spans="2:19" x14ac:dyDescent="0.3">
      <c r="B45" s="55" t="s">
        <v>26</v>
      </c>
      <c r="C45" s="56"/>
      <c r="D45" s="56"/>
      <c r="E45" s="56"/>
      <c r="F45" s="57">
        <f>NPV(F4,G40:K40)+F40</f>
        <v>811483179.91882038</v>
      </c>
    </row>
    <row r="46" spans="2:19" x14ac:dyDescent="0.3">
      <c r="B46" s="55" t="s">
        <v>27</v>
      </c>
      <c r="C46" s="56"/>
      <c r="D46" s="56"/>
      <c r="E46" s="56"/>
      <c r="F46" s="58">
        <f>L31</f>
        <v>0.67188587616960949</v>
      </c>
    </row>
    <row r="47" spans="2:19" x14ac:dyDescent="0.3">
      <c r="B47" s="59" t="s">
        <v>28</v>
      </c>
      <c r="C47" s="60"/>
      <c r="D47" s="60"/>
      <c r="E47" s="60"/>
      <c r="F47" s="61">
        <f>SUM(F42:K42)</f>
        <v>2.0560272527697689</v>
      </c>
    </row>
    <row r="48" spans="2:19" x14ac:dyDescent="0.3">
      <c r="G48" s="8">
        <v>1</v>
      </c>
      <c r="H48" s="8">
        <v>2</v>
      </c>
      <c r="I48" s="8">
        <v>3</v>
      </c>
      <c r="J48" s="8">
        <v>4</v>
      </c>
      <c r="K48" s="8">
        <v>5</v>
      </c>
      <c r="L48" s="29"/>
      <c r="M48" s="8"/>
      <c r="N48" s="29"/>
      <c r="O48" s="8"/>
      <c r="P48" s="29"/>
      <c r="Q48" s="8"/>
    </row>
    <row r="49" spans="2:21" x14ac:dyDescent="0.3">
      <c r="B49" s="30" t="s">
        <v>29</v>
      </c>
      <c r="E49" s="31" t="s">
        <v>30</v>
      </c>
      <c r="G49" s="31">
        <f>G16</f>
        <v>0.15</v>
      </c>
      <c r="H49" s="31" t="s">
        <v>137</v>
      </c>
      <c r="I49" s="31" t="s">
        <v>138</v>
      </c>
      <c r="J49" s="31" t="s">
        <v>139</v>
      </c>
      <c r="K49" s="31" t="s">
        <v>9</v>
      </c>
      <c r="L49" s="31"/>
      <c r="M49" s="31"/>
      <c r="N49" s="31"/>
      <c r="O49" s="31"/>
      <c r="P49" s="31"/>
      <c r="Q49" s="31"/>
      <c r="R49" s="31"/>
    </row>
    <row r="50" spans="2:21" x14ac:dyDescent="0.3">
      <c r="D50" t="s">
        <v>5</v>
      </c>
      <c r="E50">
        <v>5</v>
      </c>
      <c r="G50" s="66">
        <f>SUM(G12:G13)/E50</f>
        <v>59705150</v>
      </c>
      <c r="H50" s="66">
        <f>G50</f>
        <v>59705150</v>
      </c>
      <c r="I50" s="66">
        <f t="shared" ref="I50:K50" si="18">H50</f>
        <v>59705150</v>
      </c>
      <c r="J50" s="66">
        <f t="shared" si="18"/>
        <v>59705150</v>
      </c>
      <c r="K50" s="66">
        <f t="shared" si="18"/>
        <v>59705150</v>
      </c>
      <c r="L50" s="32"/>
      <c r="M50" s="32"/>
      <c r="N50" s="32"/>
      <c r="O50" s="32"/>
      <c r="P50" s="32"/>
      <c r="Q50" s="32"/>
      <c r="R50" s="33"/>
    </row>
    <row r="51" spans="2:21" x14ac:dyDescent="0.3">
      <c r="E51">
        <v>4</v>
      </c>
      <c r="G51" s="66"/>
      <c r="H51" s="66">
        <f>H13/E51</f>
        <v>8531437.5</v>
      </c>
      <c r="I51" s="66">
        <f>H51</f>
        <v>8531437.5</v>
      </c>
      <c r="J51" s="66">
        <f>I51</f>
        <v>8531437.5</v>
      </c>
      <c r="K51" s="66">
        <f>J51</f>
        <v>8531437.5</v>
      </c>
      <c r="L51" s="32"/>
      <c r="M51" s="32"/>
      <c r="N51" s="32"/>
      <c r="O51" s="32"/>
      <c r="P51" s="32"/>
      <c r="Q51" s="32"/>
      <c r="R51" s="33"/>
    </row>
    <row r="52" spans="2:21" x14ac:dyDescent="0.3">
      <c r="E52">
        <v>3</v>
      </c>
      <c r="G52" s="66"/>
      <c r="H52" s="66"/>
      <c r="I52" s="66">
        <f>I13/E52</f>
        <v>11375250</v>
      </c>
      <c r="J52" s="66">
        <f>I52</f>
        <v>11375250</v>
      </c>
      <c r="K52" s="66">
        <f>J52</f>
        <v>11375250</v>
      </c>
      <c r="L52" s="32"/>
      <c r="M52" s="32"/>
      <c r="N52" s="32"/>
      <c r="O52" s="32"/>
      <c r="P52" s="32"/>
      <c r="Q52" s="32"/>
      <c r="R52" s="33"/>
    </row>
    <row r="53" spans="2:21" x14ac:dyDescent="0.3">
      <c r="E53">
        <v>2</v>
      </c>
      <c r="G53" s="66"/>
      <c r="H53" s="66"/>
      <c r="I53" s="66"/>
      <c r="J53" s="66">
        <f>J13/E53</f>
        <v>5687625</v>
      </c>
      <c r="K53" s="66">
        <f>J53</f>
        <v>5687625</v>
      </c>
      <c r="L53" s="32"/>
      <c r="M53" s="32"/>
      <c r="N53" s="32"/>
      <c r="O53" s="32"/>
      <c r="P53" s="32"/>
      <c r="Q53" s="32"/>
      <c r="R53" s="33"/>
    </row>
    <row r="54" spans="2:21" x14ac:dyDescent="0.3">
      <c r="E54">
        <v>1</v>
      </c>
      <c r="G54" s="66"/>
      <c r="H54" s="66"/>
      <c r="I54" s="66"/>
      <c r="J54" s="66"/>
      <c r="K54" s="66">
        <f>K13</f>
        <v>0</v>
      </c>
      <c r="L54" s="32"/>
      <c r="M54" s="32"/>
      <c r="N54" s="32"/>
      <c r="O54" s="32"/>
      <c r="P54" s="32"/>
      <c r="Q54" s="32"/>
      <c r="R54" s="33"/>
    </row>
    <row r="55" spans="2:21" ht="16.2" thickBot="1" x14ac:dyDescent="0.35">
      <c r="B55" s="34" t="s">
        <v>31</v>
      </c>
      <c r="C55" s="35"/>
      <c r="D55" s="35"/>
      <c r="E55" s="35"/>
      <c r="F55" s="35"/>
      <c r="G55" s="36">
        <f>SUM(G50:G54)</f>
        <v>59705150</v>
      </c>
      <c r="H55" s="36">
        <f t="shared" ref="H55:K55" si="19">SUM(H50:H54)</f>
        <v>68236587.5</v>
      </c>
      <c r="I55" s="36">
        <f t="shared" si="19"/>
        <v>79611837.5</v>
      </c>
      <c r="J55" s="36">
        <f t="shared" si="19"/>
        <v>85299462.5</v>
      </c>
      <c r="K55" s="36">
        <f t="shared" si="19"/>
        <v>85299462.5</v>
      </c>
      <c r="L55" s="40">
        <f>SUM(G55:K55)</f>
        <v>378152500</v>
      </c>
      <c r="M55" s="40"/>
      <c r="N55" s="40"/>
      <c r="O55" s="40"/>
      <c r="P55" s="40"/>
      <c r="Q55" s="40"/>
      <c r="R55" s="40"/>
      <c r="S55" s="37"/>
      <c r="T55" s="37"/>
      <c r="U55" s="37"/>
    </row>
    <row r="56" spans="2:21" ht="16.2" thickTop="1" x14ac:dyDescent="0.3">
      <c r="R56" s="12"/>
    </row>
    <row r="58" spans="2:21" x14ac:dyDescent="0.3">
      <c r="F58" t="s">
        <v>42</v>
      </c>
    </row>
  </sheetData>
  <mergeCells count="6">
    <mergeCell ref="O24:P24"/>
    <mergeCell ref="O25:P25"/>
    <mergeCell ref="E21:F21"/>
    <mergeCell ref="O18:O19"/>
    <mergeCell ref="O22:P22"/>
    <mergeCell ref="O23:P23"/>
  </mergeCells>
  <pageMargins left="0.25" right="0.25" top="0.75" bottom="0.75" header="0.3" footer="0.3"/>
  <pageSetup paperSize="9" scale="65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3"/>
  <sheetViews>
    <sheetView workbookViewId="0">
      <selection activeCell="C6" sqref="C6"/>
    </sheetView>
  </sheetViews>
  <sheetFormatPr defaultRowHeight="15.6" x14ac:dyDescent="0.3"/>
  <cols>
    <col min="1" max="1" width="3.09765625" bestFit="1" customWidth="1"/>
    <col min="2" max="2" width="10.09765625" bestFit="1" customWidth="1"/>
    <col min="3" max="3" width="11.19921875" bestFit="1" customWidth="1"/>
    <col min="4" max="4" width="14.5" bestFit="1" customWidth="1"/>
  </cols>
  <sheetData>
    <row r="1" spans="1:4" x14ac:dyDescent="0.3">
      <c r="A1" s="230" t="s">
        <v>121</v>
      </c>
      <c r="B1" s="230" t="s">
        <v>122</v>
      </c>
      <c r="C1" s="230" t="s">
        <v>132</v>
      </c>
    </row>
    <row r="2" spans="1:4" ht="16.2" thickBot="1" x14ac:dyDescent="0.35">
      <c r="A2" s="231"/>
      <c r="B2" s="231"/>
      <c r="C2" s="231"/>
    </row>
    <row r="3" spans="1:4" ht="16.2" thickBot="1" x14ac:dyDescent="0.35">
      <c r="A3" s="145"/>
      <c r="B3" s="146"/>
      <c r="C3" s="146"/>
    </row>
    <row r="4" spans="1:4" ht="16.2" thickBot="1" x14ac:dyDescent="0.35">
      <c r="A4" s="145"/>
      <c r="B4" s="146">
        <v>2022</v>
      </c>
      <c r="C4" s="165">
        <v>252368000</v>
      </c>
    </row>
    <row r="5" spans="1:4" ht="16.2" thickBot="1" x14ac:dyDescent="0.35">
      <c r="A5" s="145"/>
      <c r="B5" s="146">
        <v>2023</v>
      </c>
      <c r="C5" s="165">
        <v>315944000</v>
      </c>
      <c r="D5" s="166">
        <f>(C5-C4)/C4</f>
        <v>0.25191783427375897</v>
      </c>
    </row>
    <row r="6" spans="1:4" ht="16.2" thickBot="1" x14ac:dyDescent="0.35">
      <c r="A6" s="147">
        <v>1</v>
      </c>
      <c r="B6" s="148">
        <v>45292</v>
      </c>
      <c r="C6" s="165">
        <v>24922000</v>
      </c>
    </row>
    <row r="7" spans="1:4" ht="16.2" thickBot="1" x14ac:dyDescent="0.35">
      <c r="A7" s="147">
        <v>2</v>
      </c>
      <c r="B7" s="148">
        <v>45323</v>
      </c>
      <c r="C7" s="165">
        <v>19586000</v>
      </c>
    </row>
    <row r="8" spans="1:4" ht="16.2" thickBot="1" x14ac:dyDescent="0.35">
      <c r="A8" s="147">
        <v>3</v>
      </c>
      <c r="B8" s="148">
        <v>45352</v>
      </c>
      <c r="C8" s="165">
        <v>20630000</v>
      </c>
    </row>
    <row r="9" spans="1:4" ht="16.2" thickBot="1" x14ac:dyDescent="0.35">
      <c r="A9" s="147">
        <v>4</v>
      </c>
      <c r="B9" s="148">
        <v>45383</v>
      </c>
      <c r="C9" s="165">
        <v>31266000</v>
      </c>
    </row>
    <row r="10" spans="1:4" ht="16.2" thickBot="1" x14ac:dyDescent="0.35">
      <c r="A10" s="147">
        <v>5</v>
      </c>
      <c r="B10" s="148">
        <v>45413</v>
      </c>
      <c r="C10" s="165">
        <v>22510000</v>
      </c>
    </row>
    <row r="11" spans="1:4" ht="16.2" thickBot="1" x14ac:dyDescent="0.35">
      <c r="A11" s="147">
        <v>6</v>
      </c>
      <c r="B11" s="148">
        <v>45444</v>
      </c>
      <c r="C11" s="165">
        <v>25104000</v>
      </c>
    </row>
    <row r="12" spans="1:4" ht="16.2" thickBot="1" x14ac:dyDescent="0.35">
      <c r="A12" s="145">
        <v>7</v>
      </c>
      <c r="B12" s="148">
        <v>45474</v>
      </c>
      <c r="C12" s="165">
        <v>27488000</v>
      </c>
    </row>
    <row r="13" spans="1:4" ht="16.2" thickBot="1" x14ac:dyDescent="0.35">
      <c r="A13" s="232" t="s">
        <v>123</v>
      </c>
      <c r="B13" s="233"/>
      <c r="C13" s="164"/>
    </row>
  </sheetData>
  <mergeCells count="4">
    <mergeCell ref="C1:C2"/>
    <mergeCell ref="A13:B13"/>
    <mergeCell ref="A1:A2"/>
    <mergeCell ref="B1:B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F7449-779F-4476-805E-A0E099642109}">
  <dimension ref="B1:U58"/>
  <sheetViews>
    <sheetView showGridLines="0" tabSelected="1" zoomScale="90" zoomScaleNormal="90" workbookViewId="0">
      <selection activeCell="L55" sqref="B1:L55"/>
    </sheetView>
  </sheetViews>
  <sheetFormatPr defaultColWidth="10.59765625" defaultRowHeight="15.6" x14ac:dyDescent="0.3"/>
  <cols>
    <col min="1" max="1" width="4.09765625" customWidth="1"/>
    <col min="2" max="2" width="5.09765625" customWidth="1"/>
    <col min="3" max="3" width="4.59765625" customWidth="1"/>
    <col min="4" max="4" width="18.796875" customWidth="1"/>
    <col min="5" max="5" width="12.19921875" customWidth="1"/>
    <col min="6" max="6" width="16.796875" customWidth="1"/>
    <col min="7" max="11" width="17.59765625" style="2" customWidth="1"/>
    <col min="12" max="12" width="16.59765625" bestFit="1" customWidth="1"/>
    <col min="13" max="13" width="15.796875" customWidth="1"/>
    <col min="14" max="15" width="15" bestFit="1" customWidth="1"/>
    <col min="16" max="16" width="18.19921875" customWidth="1"/>
    <col min="17" max="17" width="25" customWidth="1"/>
    <col min="18" max="18" width="15.59765625" bestFit="1" customWidth="1"/>
    <col min="19" max="19" width="11.69921875" bestFit="1" customWidth="1"/>
  </cols>
  <sheetData>
    <row r="1" spans="2:21" ht="23.4" x14ac:dyDescent="0.45">
      <c r="B1" s="180" t="s">
        <v>121</v>
      </c>
      <c r="C1" t="s">
        <v>182</v>
      </c>
      <c r="L1" s="179" t="str">
        <f>Summary!M1</f>
        <v>APARTEMEN ELPIS</v>
      </c>
    </row>
    <row r="2" spans="2:21" x14ac:dyDescent="0.3">
      <c r="B2" s="3" t="s">
        <v>0</v>
      </c>
      <c r="L2" s="178"/>
    </row>
    <row r="3" spans="2:21" x14ac:dyDescent="0.3">
      <c r="C3" t="s">
        <v>1</v>
      </c>
      <c r="F3" s="5">
        <v>0.02</v>
      </c>
      <c r="L3" s="4"/>
      <c r="M3" s="4"/>
      <c r="N3" s="4"/>
    </row>
    <row r="4" spans="2:21" x14ac:dyDescent="0.3">
      <c r="C4" t="s">
        <v>35</v>
      </c>
      <c r="F4" s="5">
        <v>0.1</v>
      </c>
      <c r="L4" s="4"/>
      <c r="M4" s="4"/>
      <c r="N4" s="4"/>
    </row>
    <row r="5" spans="2:21" x14ac:dyDescent="0.3">
      <c r="C5" t="s">
        <v>2</v>
      </c>
      <c r="F5" s="5">
        <v>0.02</v>
      </c>
      <c r="G5" s="2" t="s">
        <v>3</v>
      </c>
    </row>
    <row r="6" spans="2:21" x14ac:dyDescent="0.3">
      <c r="C6" t="s">
        <v>4</v>
      </c>
      <c r="F6" s="6">
        <v>0</v>
      </c>
      <c r="G6" s="2" t="s">
        <v>3</v>
      </c>
    </row>
    <row r="7" spans="2:21" x14ac:dyDescent="0.3">
      <c r="C7" t="s">
        <v>72</v>
      </c>
      <c r="F7" s="5">
        <v>0.15</v>
      </c>
    </row>
    <row r="8" spans="2:21" x14ac:dyDescent="0.3">
      <c r="C8" t="s">
        <v>118</v>
      </c>
      <c r="F8" s="144">
        <f>'Apt Elpis '!C16</f>
        <v>267000</v>
      </c>
      <c r="G8" s="2" t="s">
        <v>170</v>
      </c>
    </row>
    <row r="9" spans="2:21" x14ac:dyDescent="0.3">
      <c r="C9" t="s">
        <v>180</v>
      </c>
      <c r="F9" s="144">
        <v>870</v>
      </c>
      <c r="J9" s="11"/>
      <c r="K9" s="11"/>
      <c r="L9" s="12"/>
    </row>
    <row r="10" spans="2:21" x14ac:dyDescent="0.3">
      <c r="C10" t="s">
        <v>171</v>
      </c>
      <c r="F10" s="5">
        <v>0.5</v>
      </c>
      <c r="I10" s="86"/>
    </row>
    <row r="11" spans="2:21" ht="4.8" customHeight="1" x14ac:dyDescent="0.3">
      <c r="B11" s="1"/>
      <c r="G11" s="29" t="s">
        <v>34</v>
      </c>
      <c r="H11" s="29"/>
      <c r="I11" s="29"/>
      <c r="J11" s="29"/>
      <c r="K11" s="29"/>
      <c r="L11" s="22"/>
      <c r="M11" s="38"/>
      <c r="N11" s="38"/>
      <c r="O11" s="39"/>
      <c r="P11" s="38"/>
      <c r="Q11" s="38"/>
      <c r="R11" s="38"/>
      <c r="S11" s="38"/>
      <c r="T11" s="38"/>
    </row>
    <row r="12" spans="2:21" s="81" customFormat="1" ht="16.2" thickBot="1" x14ac:dyDescent="0.35">
      <c r="B12" s="88" t="s">
        <v>176</v>
      </c>
      <c r="F12" s="87">
        <f>264400000+10000000</f>
        <v>274400000</v>
      </c>
      <c r="G12" s="82">
        <f>F12</f>
        <v>274400000</v>
      </c>
      <c r="H12" s="83"/>
      <c r="I12" s="83"/>
      <c r="J12" s="83"/>
      <c r="K12" s="83"/>
      <c r="M12" s="83"/>
      <c r="N12" s="83"/>
      <c r="O12" s="84"/>
      <c r="P12" s="83"/>
      <c r="Q12" s="83"/>
      <c r="R12" s="83"/>
      <c r="S12" s="83"/>
      <c r="T12" s="83"/>
    </row>
    <row r="13" spans="2:21" s="81" customFormat="1" ht="16.2" thickTop="1" x14ac:dyDescent="0.3">
      <c r="B13" s="88" t="s">
        <v>177</v>
      </c>
      <c r="F13" s="87">
        <v>261500</v>
      </c>
      <c r="G13" s="83">
        <f>$F$13*G$16*$F$9</f>
        <v>15925350</v>
      </c>
      <c r="H13" s="83">
        <f t="shared" ref="H13:K13" si="0">$F$13*H$16*$F$9</f>
        <v>18200400</v>
      </c>
      <c r="I13" s="83">
        <f t="shared" si="0"/>
        <v>22750500</v>
      </c>
      <c r="J13" s="83">
        <f t="shared" si="0"/>
        <v>22750500</v>
      </c>
      <c r="K13" s="83">
        <f t="shared" si="0"/>
        <v>22750500</v>
      </c>
      <c r="M13" s="83"/>
      <c r="N13" s="83"/>
      <c r="O13" s="84"/>
      <c r="P13" s="83"/>
      <c r="Q13" s="83"/>
      <c r="R13" s="83"/>
      <c r="S13" s="83"/>
      <c r="T13" s="83"/>
    </row>
    <row r="14" spans="2:21" s="81" customFormat="1" ht="6.6" customHeight="1" x14ac:dyDescent="0.3">
      <c r="B14" s="88"/>
      <c r="F14" s="87"/>
      <c r="G14" s="83"/>
      <c r="H14" s="83"/>
      <c r="I14" s="83"/>
      <c r="J14" s="83"/>
      <c r="K14" s="83"/>
      <c r="L14" s="86"/>
      <c r="M14" s="83"/>
      <c r="N14" s="83"/>
      <c r="O14" s="84"/>
      <c r="P14" s="83"/>
      <c r="Q14" s="83"/>
      <c r="R14" s="83"/>
      <c r="S14" s="83"/>
      <c r="T14" s="83"/>
    </row>
    <row r="15" spans="2:21" ht="16.2" thickBot="1" x14ac:dyDescent="0.35">
      <c r="F15" s="9"/>
      <c r="G15" s="8">
        <v>2025</v>
      </c>
      <c r="H15" s="8">
        <f>G15+1</f>
        <v>2026</v>
      </c>
      <c r="I15" s="8">
        <f>H15+1</f>
        <v>2027</v>
      </c>
      <c r="J15" s="8">
        <f>I15+1</f>
        <v>2028</v>
      </c>
      <c r="K15" s="8">
        <f>J15+1</f>
        <v>2029</v>
      </c>
      <c r="L15" s="22"/>
      <c r="O15" s="37"/>
      <c r="P15" s="37"/>
      <c r="Q15" s="37"/>
      <c r="R15" s="37"/>
      <c r="S15" s="37"/>
      <c r="T15" s="37"/>
      <c r="U15" s="37"/>
    </row>
    <row r="16" spans="2:21" ht="16.2" thickBot="1" x14ac:dyDescent="0.35">
      <c r="B16" s="10" t="s">
        <v>10</v>
      </c>
      <c r="C16" s="7"/>
      <c r="D16" s="7"/>
      <c r="E16" s="7" t="s">
        <v>174</v>
      </c>
      <c r="F16" s="7"/>
      <c r="G16" s="197">
        <v>7.0000000000000007E-2</v>
      </c>
      <c r="H16" s="197">
        <v>0.08</v>
      </c>
      <c r="I16" s="197">
        <v>0.1</v>
      </c>
      <c r="J16" s="197">
        <v>0.1</v>
      </c>
      <c r="K16" s="197">
        <v>0.1</v>
      </c>
      <c r="L16" s="67" t="s">
        <v>11</v>
      </c>
      <c r="M16" s="192"/>
      <c r="N16" s="192"/>
      <c r="O16" s="151" t="s">
        <v>128</v>
      </c>
      <c r="P16" s="158" t="s">
        <v>129</v>
      </c>
      <c r="Q16" s="152" t="s">
        <v>130</v>
      </c>
      <c r="R16" s="192"/>
      <c r="S16" s="37"/>
      <c r="T16" s="37"/>
      <c r="U16" s="37"/>
    </row>
    <row r="17" spans="2:19" x14ac:dyDescent="0.3">
      <c r="B17" t="s">
        <v>12</v>
      </c>
      <c r="G17" s="8">
        <v>12</v>
      </c>
      <c r="H17" s="8">
        <v>12</v>
      </c>
      <c r="I17" s="8">
        <v>12</v>
      </c>
      <c r="J17" s="8">
        <v>12</v>
      </c>
      <c r="K17" s="8">
        <v>12</v>
      </c>
      <c r="L17" s="68"/>
      <c r="O17" s="149" t="s">
        <v>131</v>
      </c>
      <c r="P17" s="153">
        <f>G12</f>
        <v>274400000</v>
      </c>
      <c r="Q17" s="156" t="s">
        <v>125</v>
      </c>
    </row>
    <row r="18" spans="2:19" ht="3" customHeight="1" x14ac:dyDescent="0.3">
      <c r="L18" s="68"/>
      <c r="O18" s="227" t="s">
        <v>126</v>
      </c>
      <c r="P18" s="154">
        <f>G24</f>
        <v>69512360</v>
      </c>
      <c r="Q18" s="156" t="s">
        <v>140</v>
      </c>
    </row>
    <row r="19" spans="2:19" ht="2.4" customHeight="1" x14ac:dyDescent="0.3">
      <c r="E19" s="15"/>
      <c r="G19" s="167"/>
      <c r="H19" s="16"/>
      <c r="I19" s="16"/>
      <c r="J19" s="16"/>
      <c r="K19" s="16"/>
      <c r="L19" s="68"/>
      <c r="O19" s="227"/>
      <c r="P19" s="154">
        <f>G28</f>
        <v>20000000</v>
      </c>
      <c r="Q19" s="156" t="s">
        <v>2</v>
      </c>
    </row>
    <row r="20" spans="2:19" ht="16.2" thickBot="1" x14ac:dyDescent="0.35">
      <c r="B20" s="1" t="s">
        <v>175</v>
      </c>
      <c r="E20" s="163">
        <v>0.5</v>
      </c>
      <c r="F20" s="15" t="s">
        <v>143</v>
      </c>
      <c r="G20" s="143">
        <f>$F$8*G$17*$F$9*G$16*$E$20</f>
        <v>97561800.000000015</v>
      </c>
      <c r="H20" s="143">
        <f>($F$8*H$17*$F$9*H$16*$E$20)+G20</f>
        <v>209061000</v>
      </c>
      <c r="I20" s="143">
        <f>($F$8*I$17*$F$9*I$16*$E$20)+H20</f>
        <v>348435000</v>
      </c>
      <c r="J20" s="143">
        <f>($F$8*J$17*$F$9*J$16*$E$20)+I20</f>
        <v>487809000</v>
      </c>
      <c r="K20" s="143">
        <f>($F$8*K$17*$F$9*K$16*$E$20)+J20</f>
        <v>627183000</v>
      </c>
      <c r="L20" s="177">
        <f>SUM(G20:K20)</f>
        <v>1770049800</v>
      </c>
      <c r="O20" s="150" t="s">
        <v>73</v>
      </c>
      <c r="P20" s="155">
        <f>G20</f>
        <v>97561800.000000015</v>
      </c>
      <c r="Q20" s="157" t="s">
        <v>127</v>
      </c>
    </row>
    <row r="21" spans="2:19" ht="16.2" thickBot="1" x14ac:dyDescent="0.35">
      <c r="B21" s="62" t="s">
        <v>120</v>
      </c>
      <c r="C21" s="62"/>
      <c r="D21" s="62"/>
      <c r="E21" s="225"/>
      <c r="F21" s="226"/>
      <c r="G21" s="63">
        <f>SUM(G20:G20)</f>
        <v>97561800.000000015</v>
      </c>
      <c r="H21" s="63">
        <f t="shared" ref="H21:K21" si="1">SUM(H20:H20)</f>
        <v>209061000</v>
      </c>
      <c r="I21" s="63">
        <f t="shared" si="1"/>
        <v>348435000</v>
      </c>
      <c r="J21" s="63">
        <f t="shared" si="1"/>
        <v>487809000</v>
      </c>
      <c r="K21" s="63">
        <f t="shared" si="1"/>
        <v>627183000</v>
      </c>
      <c r="L21" s="69">
        <f>SUM(G21:K21)</f>
        <v>1770049800</v>
      </c>
      <c r="M21" s="41"/>
      <c r="N21" s="41"/>
      <c r="O21" s="41"/>
      <c r="P21" s="41"/>
      <c r="Q21" s="41"/>
      <c r="R21" s="41"/>
      <c r="S21" s="43"/>
    </row>
    <row r="22" spans="2:19" ht="3" customHeight="1" x14ac:dyDescent="0.3">
      <c r="L22" s="68"/>
      <c r="M22" s="43"/>
      <c r="N22" s="43"/>
      <c r="O22" s="228" t="s">
        <v>25</v>
      </c>
      <c r="P22" s="229"/>
      <c r="Q22" s="159">
        <f>F43</f>
        <v>0.19682208280165736</v>
      </c>
      <c r="R22" s="43"/>
    </row>
    <row r="23" spans="2:19" x14ac:dyDescent="0.3">
      <c r="B23" s="1" t="s">
        <v>13</v>
      </c>
      <c r="E23" s="15"/>
      <c r="F23" s="15"/>
      <c r="G23" s="16"/>
      <c r="H23" s="16"/>
      <c r="I23" s="16"/>
      <c r="J23" s="16"/>
      <c r="K23" s="16"/>
      <c r="L23" s="70"/>
      <c r="M23" s="44"/>
      <c r="N23" s="44"/>
      <c r="O23" s="221" t="s">
        <v>26</v>
      </c>
      <c r="P23" s="222"/>
      <c r="Q23" s="160">
        <f>F45</f>
        <v>136259778.84589338</v>
      </c>
      <c r="R23" s="43"/>
    </row>
    <row r="24" spans="2:19" x14ac:dyDescent="0.3">
      <c r="B24" s="1"/>
      <c r="C24" t="s">
        <v>124</v>
      </c>
      <c r="E24" s="163">
        <v>0.2</v>
      </c>
      <c r="F24" s="15" t="s">
        <v>143</v>
      </c>
      <c r="G24" s="11">
        <f>G21*20%+50000000</f>
        <v>69512360</v>
      </c>
      <c r="H24" s="11">
        <f t="shared" ref="H24:J24" si="2">H21*20%</f>
        <v>41812200</v>
      </c>
      <c r="I24" s="11">
        <f t="shared" si="2"/>
        <v>69687000</v>
      </c>
      <c r="J24" s="11">
        <f t="shared" si="2"/>
        <v>97561800</v>
      </c>
      <c r="K24" s="11">
        <f>K21*20%</f>
        <v>125436600</v>
      </c>
      <c r="L24" s="71">
        <f>SUM(G24:K24)</f>
        <v>404009960</v>
      </c>
      <c r="M24" s="44"/>
      <c r="N24" s="44"/>
      <c r="O24" s="221" t="s">
        <v>27</v>
      </c>
      <c r="P24" s="222"/>
      <c r="Q24" s="161">
        <f>F46</f>
        <v>0.48699130018827719</v>
      </c>
      <c r="R24" s="43"/>
    </row>
    <row r="25" spans="2:19" ht="16.8" customHeight="1" thickBot="1" x14ac:dyDescent="0.35">
      <c r="C25" t="s">
        <v>179</v>
      </c>
      <c r="E25" s="91">
        <v>700000</v>
      </c>
      <c r="F25" s="109"/>
      <c r="G25" s="11">
        <f>$E$25*G16*$F$9</f>
        <v>42630000.000000007</v>
      </c>
      <c r="H25" s="11">
        <f>$E$25*H16*$F$9</f>
        <v>48720000</v>
      </c>
      <c r="I25" s="11">
        <f t="shared" ref="I25:K25" si="3">$E$25*I16*$F$9</f>
        <v>60900000</v>
      </c>
      <c r="J25" s="11">
        <f t="shared" si="3"/>
        <v>60900000</v>
      </c>
      <c r="K25" s="11">
        <f t="shared" si="3"/>
        <v>60900000</v>
      </c>
      <c r="L25" s="71">
        <f t="shared" ref="L25:L27" si="4">SUM(G25:K25)</f>
        <v>274050000</v>
      </c>
      <c r="M25" s="41"/>
      <c r="N25" s="41"/>
      <c r="O25" s="223" t="s">
        <v>28</v>
      </c>
      <c r="P25" s="224"/>
      <c r="Q25" s="162">
        <f>F47</f>
        <v>3.864879347120306</v>
      </c>
      <c r="R25" s="42"/>
    </row>
    <row r="26" spans="2:19" x14ac:dyDescent="0.3">
      <c r="C26" t="s">
        <v>144</v>
      </c>
      <c r="E26" s="171">
        <v>0.05</v>
      </c>
      <c r="F26" s="15" t="s">
        <v>143</v>
      </c>
      <c r="G26" s="105">
        <f>G21*$E$26</f>
        <v>4878090.0000000009</v>
      </c>
      <c r="H26" s="105">
        <f>H21*$E$26</f>
        <v>10453050</v>
      </c>
      <c r="I26" s="105">
        <f>I21*$E$26</f>
        <v>17421750</v>
      </c>
      <c r="J26" s="105">
        <f t="shared" ref="J26:K26" si="5">J21*$E$26</f>
        <v>24390450</v>
      </c>
      <c r="K26" s="105">
        <f t="shared" si="5"/>
        <v>31359150</v>
      </c>
      <c r="L26" s="71">
        <f t="shared" si="4"/>
        <v>88502490</v>
      </c>
      <c r="M26" s="41"/>
      <c r="N26" s="41"/>
      <c r="O26" s="41"/>
      <c r="P26" s="41"/>
      <c r="Q26" s="41"/>
      <c r="R26" s="42"/>
      <c r="S26" s="43"/>
    </row>
    <row r="27" spans="2:19" x14ac:dyDescent="0.3">
      <c r="C27" t="s">
        <v>142</v>
      </c>
      <c r="E27" s="172">
        <v>1.7500000000000002E-2</v>
      </c>
      <c r="F27" s="15" t="s">
        <v>143</v>
      </c>
      <c r="G27" s="105">
        <f>G21*$E$27</f>
        <v>1707331.5000000005</v>
      </c>
      <c r="H27" s="105">
        <f t="shared" ref="H27:K27" si="6">H21*$E$27</f>
        <v>3658567.5000000005</v>
      </c>
      <c r="I27" s="105">
        <f t="shared" si="6"/>
        <v>6097612.5000000009</v>
      </c>
      <c r="J27" s="105">
        <f t="shared" si="6"/>
        <v>8536657.5</v>
      </c>
      <c r="K27" s="105">
        <f t="shared" si="6"/>
        <v>10975702.500000002</v>
      </c>
      <c r="L27" s="71">
        <f t="shared" si="4"/>
        <v>30975871.5</v>
      </c>
      <c r="M27" s="41"/>
      <c r="N27" s="41"/>
      <c r="O27" s="41"/>
      <c r="P27" s="41"/>
      <c r="Q27" s="41"/>
      <c r="R27" s="42"/>
      <c r="S27" s="43"/>
    </row>
    <row r="28" spans="2:19" x14ac:dyDescent="0.3">
      <c r="B28" s="13"/>
      <c r="C28" s="13" t="s">
        <v>2</v>
      </c>
      <c r="D28" s="13"/>
      <c r="E28" s="13"/>
      <c r="F28" s="13"/>
      <c r="G28" s="17">
        <v>20000000</v>
      </c>
      <c r="H28" s="17">
        <f>G28*105%</f>
        <v>21000000</v>
      </c>
      <c r="I28" s="17">
        <f>H28*105%</f>
        <v>22050000</v>
      </c>
      <c r="J28" s="17">
        <f>I28*105%</f>
        <v>23152500</v>
      </c>
      <c r="K28" s="17">
        <f>J28*105%</f>
        <v>24310125</v>
      </c>
      <c r="L28" s="71">
        <f>SUM(G28:K28)</f>
        <v>110512625</v>
      </c>
      <c r="M28" s="45"/>
      <c r="N28" s="45"/>
      <c r="O28" s="45"/>
      <c r="P28" s="45"/>
      <c r="Q28" s="45"/>
      <c r="R28" s="42"/>
      <c r="S28" s="43"/>
    </row>
    <row r="29" spans="2:19" s="1" customFormat="1" x14ac:dyDescent="0.3">
      <c r="B29" s="62" t="s">
        <v>15</v>
      </c>
      <c r="C29" s="62"/>
      <c r="D29" s="62"/>
      <c r="E29" s="62"/>
      <c r="F29" s="62"/>
      <c r="G29" s="63">
        <f>SUM(G24:G28)</f>
        <v>138727781.5</v>
      </c>
      <c r="H29" s="63">
        <f t="shared" ref="H29:J29" si="7">SUM(H24:H28)</f>
        <v>125643817.5</v>
      </c>
      <c r="I29" s="63">
        <f>SUM(I24:I28)</f>
        <v>176156362.5</v>
      </c>
      <c r="J29" s="63">
        <f t="shared" si="7"/>
        <v>214541407.5</v>
      </c>
      <c r="K29" s="63">
        <f>SUM(K24:K28)</f>
        <v>252981577.5</v>
      </c>
      <c r="L29" s="85">
        <f>SUM(L24:L28)</f>
        <v>908050946.5</v>
      </c>
      <c r="M29" s="46"/>
      <c r="N29" s="46"/>
      <c r="O29" s="46"/>
      <c r="P29" s="46"/>
      <c r="Q29" s="46"/>
      <c r="R29" s="46"/>
      <c r="S29" s="47"/>
    </row>
    <row r="30" spans="2:19" s="1" customFormat="1" x14ac:dyDescent="0.3">
      <c r="B30" s="1" t="s">
        <v>16</v>
      </c>
      <c r="G30" s="18">
        <f t="shared" ref="G30:L30" si="8">G21-G29</f>
        <v>-41165981.499999985</v>
      </c>
      <c r="H30" s="18">
        <f t="shared" si="8"/>
        <v>83417182.5</v>
      </c>
      <c r="I30" s="18">
        <f t="shared" si="8"/>
        <v>172278637.5</v>
      </c>
      <c r="J30" s="18">
        <f t="shared" si="8"/>
        <v>273267592.5</v>
      </c>
      <c r="K30" s="18">
        <f t="shared" si="8"/>
        <v>374201422.5</v>
      </c>
      <c r="L30" s="72">
        <f t="shared" si="8"/>
        <v>861998853.5</v>
      </c>
      <c r="M30" s="46"/>
      <c r="N30" s="46"/>
      <c r="O30" s="46"/>
      <c r="P30" s="46"/>
      <c r="Q30" s="46"/>
      <c r="R30" s="46"/>
      <c r="S30" s="47"/>
    </row>
    <row r="31" spans="2:19" s="1" customFormat="1" x14ac:dyDescent="0.3">
      <c r="B31" s="19" t="s">
        <v>17</v>
      </c>
      <c r="C31" s="20"/>
      <c r="D31" s="20"/>
      <c r="E31" s="20"/>
      <c r="F31" s="20"/>
      <c r="G31" s="21">
        <f t="shared" ref="G31:K31" si="9">G30/G21</f>
        <v>-0.42194774491655523</v>
      </c>
      <c r="H31" s="21">
        <f t="shared" si="9"/>
        <v>0.39900881800048787</v>
      </c>
      <c r="I31" s="21">
        <f t="shared" si="9"/>
        <v>0.49443551164492661</v>
      </c>
      <c r="J31" s="21">
        <f t="shared" si="9"/>
        <v>0.56019383098712816</v>
      </c>
      <c r="K31" s="21">
        <f t="shared" si="9"/>
        <v>0.59663833761438045</v>
      </c>
      <c r="L31" s="73">
        <f>L30/L21</f>
        <v>0.48699130018827719</v>
      </c>
      <c r="M31" s="48"/>
      <c r="N31" s="48"/>
      <c r="O31" s="48"/>
      <c r="P31" s="48"/>
      <c r="Q31" s="48"/>
      <c r="R31" s="48"/>
      <c r="S31" s="47"/>
    </row>
    <row r="32" spans="2:19" x14ac:dyDescent="0.3">
      <c r="B32" s="13" t="s">
        <v>18</v>
      </c>
      <c r="C32" s="13"/>
      <c r="D32" s="13"/>
      <c r="E32" s="13"/>
      <c r="F32" s="13"/>
      <c r="G32" s="14">
        <f>G55</f>
        <v>58065070</v>
      </c>
      <c r="H32" s="14">
        <f t="shared" ref="H32:K32" si="10">H55</f>
        <v>62615170</v>
      </c>
      <c r="I32" s="14">
        <f>I55</f>
        <v>70198670</v>
      </c>
      <c r="J32" s="14">
        <f t="shared" si="10"/>
        <v>81573920</v>
      </c>
      <c r="K32" s="14">
        <f t="shared" si="10"/>
        <v>104324420</v>
      </c>
      <c r="L32" s="74">
        <f>SUM(G32:K32)</f>
        <v>376777250</v>
      </c>
      <c r="M32" s="41"/>
      <c r="N32" s="41"/>
      <c r="O32" s="41"/>
      <c r="P32" s="41"/>
      <c r="Q32" s="41"/>
      <c r="R32" s="41"/>
      <c r="S32" s="43"/>
    </row>
    <row r="33" spans="2:19" x14ac:dyDescent="0.3">
      <c r="B33" s="22" t="s">
        <v>19</v>
      </c>
      <c r="G33" s="23">
        <f t="shared" ref="G33:K33" si="11">G30-G32</f>
        <v>-99231051.499999985</v>
      </c>
      <c r="H33" s="23">
        <f t="shared" si="11"/>
        <v>20802012.5</v>
      </c>
      <c r="I33" s="23">
        <f t="shared" si="11"/>
        <v>102079967.5</v>
      </c>
      <c r="J33" s="23">
        <f>J30-J32</f>
        <v>191693672.5</v>
      </c>
      <c r="K33" s="23">
        <f t="shared" si="11"/>
        <v>269877002.5</v>
      </c>
      <c r="L33" s="75">
        <f>L30-L32</f>
        <v>485221603.5</v>
      </c>
      <c r="M33" s="49"/>
      <c r="N33" s="49"/>
      <c r="O33" s="49"/>
      <c r="P33" s="49"/>
      <c r="Q33" s="49"/>
      <c r="R33" s="49"/>
      <c r="S33" s="43"/>
    </row>
    <row r="34" spans="2:19" x14ac:dyDescent="0.3">
      <c r="B34" s="22" t="s">
        <v>32</v>
      </c>
      <c r="G34" s="65">
        <f>PARAMETER!B6</f>
        <v>18838862.5</v>
      </c>
      <c r="H34" s="65">
        <f>PARAMETER!C6</f>
        <v>33909952.5</v>
      </c>
      <c r="I34" s="65">
        <f>PARAMETER!D6</f>
        <v>26374407.5</v>
      </c>
      <c r="J34" s="65">
        <f>PARAMETER!E6</f>
        <v>18838862.5</v>
      </c>
      <c r="K34" s="65">
        <f>PARAMETER!F6</f>
        <v>11303317.5</v>
      </c>
      <c r="L34" s="89">
        <f>SUM(G34:K34)</f>
        <v>109265402.5</v>
      </c>
      <c r="M34" s="49"/>
      <c r="N34" s="49"/>
      <c r="O34" s="49"/>
      <c r="P34" s="49"/>
      <c r="Q34" s="49"/>
      <c r="R34" s="49"/>
      <c r="S34" s="43"/>
    </row>
    <row r="35" spans="2:19" x14ac:dyDescent="0.3">
      <c r="B35" s="22" t="s">
        <v>33</v>
      </c>
      <c r="G35" s="65">
        <f t="shared" ref="G35:K35" si="12">G33-G34</f>
        <v>-118069913.99999999</v>
      </c>
      <c r="H35" s="65">
        <f t="shared" si="12"/>
        <v>-13107940</v>
      </c>
      <c r="I35" s="65">
        <f t="shared" si="12"/>
        <v>75705560</v>
      </c>
      <c r="J35" s="65">
        <f t="shared" si="12"/>
        <v>172854810</v>
      </c>
      <c r="K35" s="65">
        <f t="shared" si="12"/>
        <v>258573685</v>
      </c>
      <c r="L35" s="89">
        <f>SUM(G35:K35)</f>
        <v>375956201</v>
      </c>
      <c r="M35" s="49"/>
      <c r="N35" s="49"/>
      <c r="O35" s="49"/>
      <c r="P35" s="49"/>
      <c r="Q35" s="49"/>
      <c r="R35" s="49"/>
      <c r="S35" s="43"/>
    </row>
    <row r="36" spans="2:19" x14ac:dyDescent="0.3">
      <c r="B36" s="13" t="s">
        <v>20</v>
      </c>
      <c r="C36" s="13"/>
      <c r="D36" s="13"/>
      <c r="E36" s="13"/>
      <c r="F36" s="13"/>
      <c r="G36" s="64">
        <f>IF(G35&lt;0,0,G35*$F$3)</f>
        <v>0</v>
      </c>
      <c r="H36" s="64">
        <f t="shared" ref="H36:K36" si="13">IF(H35&lt;0,0,H35*$F$3)</f>
        <v>0</v>
      </c>
      <c r="I36" s="64">
        <f t="shared" si="13"/>
        <v>1514111.2</v>
      </c>
      <c r="J36" s="64">
        <f t="shared" si="13"/>
        <v>3457096.2</v>
      </c>
      <c r="K36" s="64">
        <f t="shared" si="13"/>
        <v>5171473.7</v>
      </c>
      <c r="L36" s="76">
        <f>SUM(G36:K36)</f>
        <v>10142681.100000001</v>
      </c>
      <c r="M36" s="51"/>
      <c r="N36" s="51"/>
      <c r="O36" s="51"/>
      <c r="P36" s="51"/>
      <c r="Q36" s="51"/>
      <c r="R36" s="50"/>
      <c r="S36" s="43"/>
    </row>
    <row r="37" spans="2:19" ht="16.2" thickBot="1" x14ac:dyDescent="0.35">
      <c r="B37" s="25" t="s">
        <v>41</v>
      </c>
      <c r="C37" s="25"/>
      <c r="D37" s="25"/>
      <c r="E37" s="25"/>
      <c r="F37" s="25"/>
      <c r="G37" s="26">
        <f>G35-G36</f>
        <v>-118069913.99999999</v>
      </c>
      <c r="H37" s="26">
        <f t="shared" ref="H37:J37" si="14">H35-H36</f>
        <v>-13107940</v>
      </c>
      <c r="I37" s="26">
        <f t="shared" si="14"/>
        <v>74191448.799999997</v>
      </c>
      <c r="J37" s="26">
        <f t="shared" si="14"/>
        <v>169397713.80000001</v>
      </c>
      <c r="K37" s="26">
        <f>K35-K36</f>
        <v>253402211.30000001</v>
      </c>
      <c r="L37" s="77">
        <f>L35-L36</f>
        <v>365813519.89999998</v>
      </c>
      <c r="M37" s="49"/>
      <c r="N37" s="49"/>
      <c r="O37" s="49"/>
      <c r="P37" s="49"/>
      <c r="Q37" s="49"/>
      <c r="R37" s="49"/>
      <c r="S37" s="43"/>
    </row>
    <row r="38" spans="2:19" x14ac:dyDescent="0.3">
      <c r="L38" s="68"/>
      <c r="M38" s="43"/>
      <c r="N38" s="43"/>
      <c r="O38" s="43"/>
      <c r="P38" s="43"/>
      <c r="Q38" s="43"/>
      <c r="R38" s="43"/>
      <c r="S38" s="43"/>
    </row>
    <row r="39" spans="2:19" x14ac:dyDescent="0.3">
      <c r="B39" s="13" t="s">
        <v>21</v>
      </c>
      <c r="C39" s="13"/>
      <c r="D39" s="13"/>
      <c r="E39" s="13"/>
      <c r="F39" s="27">
        <f>-G13+-G12</f>
        <v>-290325350</v>
      </c>
      <c r="G39" s="27"/>
      <c r="H39" s="27">
        <f>-H13</f>
        <v>-18200400</v>
      </c>
      <c r="I39" s="27">
        <f t="shared" ref="I39:K39" si="15">-I13</f>
        <v>-22750500</v>
      </c>
      <c r="J39" s="27">
        <f t="shared" si="15"/>
        <v>-22750500</v>
      </c>
      <c r="K39" s="27">
        <f t="shared" si="15"/>
        <v>-22750500</v>
      </c>
      <c r="L39" s="78"/>
      <c r="M39" s="50"/>
      <c r="N39" s="50"/>
      <c r="O39" s="50"/>
      <c r="P39" s="50"/>
      <c r="Q39" s="50"/>
      <c r="R39" s="50"/>
      <c r="S39" s="43"/>
    </row>
    <row r="40" spans="2:19" x14ac:dyDescent="0.3">
      <c r="B40" t="s">
        <v>22</v>
      </c>
      <c r="F40" s="24">
        <f>F39</f>
        <v>-290325350</v>
      </c>
      <c r="G40" s="24">
        <f t="shared" ref="G40:K40" si="16">G39+G37+G32</f>
        <v>-60004843.999999985</v>
      </c>
      <c r="H40" s="24">
        <f t="shared" si="16"/>
        <v>31306830</v>
      </c>
      <c r="I40" s="24">
        <f t="shared" si="16"/>
        <v>121639618.8</v>
      </c>
      <c r="J40" s="24">
        <f t="shared" si="16"/>
        <v>228221133.80000001</v>
      </c>
      <c r="K40" s="24">
        <f t="shared" si="16"/>
        <v>334976131.30000001</v>
      </c>
      <c r="L40" s="79">
        <f>SUM(F40:K40)</f>
        <v>365813519.90000004</v>
      </c>
      <c r="M40" s="50"/>
      <c r="N40" s="50"/>
      <c r="O40" s="50"/>
      <c r="P40" s="50"/>
      <c r="Q40" s="50"/>
      <c r="R40" s="50"/>
      <c r="S40" s="43"/>
    </row>
    <row r="41" spans="2:19" x14ac:dyDescent="0.3">
      <c r="B41" t="s">
        <v>23</v>
      </c>
      <c r="F41" s="24">
        <f>F40</f>
        <v>-290325350</v>
      </c>
      <c r="G41" s="24">
        <f>F41+G40</f>
        <v>-350330194</v>
      </c>
      <c r="H41" s="24">
        <f>G41+H40</f>
        <v>-319023364</v>
      </c>
      <c r="I41" s="24">
        <f>H41+I40</f>
        <v>-197383745.19999999</v>
      </c>
      <c r="J41" s="24">
        <f t="shared" ref="J41" si="17">I41+J40</f>
        <v>30837388.600000024</v>
      </c>
      <c r="K41" s="24">
        <f>J41+K40</f>
        <v>365813519.90000004</v>
      </c>
      <c r="L41" s="79"/>
      <c r="M41" s="50"/>
      <c r="N41" s="50"/>
      <c r="O41" s="50"/>
      <c r="P41" s="50"/>
      <c r="Q41" s="50"/>
      <c r="R41" s="50"/>
      <c r="S41" s="43"/>
    </row>
    <row r="42" spans="2:19" x14ac:dyDescent="0.3">
      <c r="B42" t="s">
        <v>24</v>
      </c>
      <c r="F42" s="24"/>
      <c r="G42" s="28">
        <f>IF(AND(F41&lt;0,G41&gt;0),G48-(G41/G40),0)</f>
        <v>0</v>
      </c>
      <c r="H42" s="28">
        <f>IF(AND(G41&lt;0,H41&gt;0),H48-(H41/H40),0)</f>
        <v>0</v>
      </c>
      <c r="I42" s="28">
        <f>IF(AND(H41&lt;0,I41&gt;0),I48-(I41/I40),0)</f>
        <v>0</v>
      </c>
      <c r="J42" s="28">
        <f t="shared" ref="J42:K42" si="18">IF(AND(I41&lt;0,J41&gt;0),J48-(J41/J40),0)</f>
        <v>3.864879347120306</v>
      </c>
      <c r="K42" s="28">
        <f t="shared" si="18"/>
        <v>0</v>
      </c>
      <c r="L42" s="80"/>
      <c r="M42" s="28"/>
      <c r="N42" s="28"/>
      <c r="O42" s="28"/>
      <c r="P42" s="28"/>
      <c r="Q42" s="28"/>
      <c r="R42" s="28"/>
    </row>
    <row r="43" spans="2:19" x14ac:dyDescent="0.3">
      <c r="B43" s="53" t="s">
        <v>25</v>
      </c>
      <c r="C43" s="54"/>
      <c r="D43" s="54"/>
      <c r="E43" s="54"/>
      <c r="F43" s="90">
        <f>IRR(F40:K40)</f>
        <v>0.19682208280165736</v>
      </c>
    </row>
    <row r="44" spans="2:19" x14ac:dyDescent="0.3">
      <c r="B44" s="55" t="s">
        <v>169</v>
      </c>
      <c r="C44" s="56"/>
      <c r="D44" s="56"/>
      <c r="E44" s="56"/>
      <c r="F44" s="191" cm="1">
        <f t="array" ref="F44">AVERAGE(G37:K37/G12)</f>
        <v>0.26662792995626827</v>
      </c>
    </row>
    <row r="45" spans="2:19" x14ac:dyDescent="0.3">
      <c r="B45" s="55" t="s">
        <v>26</v>
      </c>
      <c r="C45" s="56"/>
      <c r="D45" s="56"/>
      <c r="E45" s="56"/>
      <c r="F45" s="57">
        <f>NPV(F4,G40:K40)+F40</f>
        <v>136259778.84589338</v>
      </c>
    </row>
    <row r="46" spans="2:19" x14ac:dyDescent="0.3">
      <c r="B46" s="55" t="s">
        <v>27</v>
      </c>
      <c r="C46" s="56"/>
      <c r="D46" s="56"/>
      <c r="E46" s="56"/>
      <c r="F46" s="58">
        <f>L31</f>
        <v>0.48699130018827719</v>
      </c>
    </row>
    <row r="47" spans="2:19" x14ac:dyDescent="0.3">
      <c r="B47" s="59" t="s">
        <v>28</v>
      </c>
      <c r="C47" s="60"/>
      <c r="D47" s="60"/>
      <c r="E47" s="60"/>
      <c r="F47" s="61">
        <f>SUM(F42:K42)</f>
        <v>3.864879347120306</v>
      </c>
    </row>
    <row r="48" spans="2:19" x14ac:dyDescent="0.3">
      <c r="G48" s="8">
        <v>1</v>
      </c>
      <c r="H48" s="8">
        <v>2</v>
      </c>
      <c r="I48" s="8">
        <v>3</v>
      </c>
      <c r="J48" s="8">
        <v>4</v>
      </c>
      <c r="K48" s="8">
        <v>5</v>
      </c>
      <c r="L48" s="29"/>
      <c r="M48" s="8"/>
      <c r="N48" s="29"/>
      <c r="O48" s="8"/>
      <c r="P48" s="29"/>
      <c r="Q48" s="8"/>
    </row>
    <row r="49" spans="2:21" x14ac:dyDescent="0.3">
      <c r="B49" s="30" t="s">
        <v>29</v>
      </c>
      <c r="E49" s="31" t="s">
        <v>30</v>
      </c>
      <c r="G49" s="31">
        <f>G16</f>
        <v>7.0000000000000007E-2</v>
      </c>
      <c r="H49" s="31" t="s">
        <v>137</v>
      </c>
      <c r="I49" s="31" t="s">
        <v>138</v>
      </c>
      <c r="J49" s="31" t="s">
        <v>139</v>
      </c>
      <c r="K49" s="31" t="s">
        <v>9</v>
      </c>
      <c r="L49" s="31"/>
      <c r="M49" s="31"/>
      <c r="N49" s="31"/>
      <c r="O49" s="31"/>
      <c r="P49" s="31"/>
      <c r="Q49" s="31"/>
      <c r="R49" s="31"/>
    </row>
    <row r="50" spans="2:21" x14ac:dyDescent="0.3">
      <c r="D50" t="s">
        <v>5</v>
      </c>
      <c r="E50">
        <v>5</v>
      </c>
      <c r="G50" s="66">
        <f>SUM(G12:G13)/E50</f>
        <v>58065070</v>
      </c>
      <c r="H50" s="66">
        <f>G50</f>
        <v>58065070</v>
      </c>
      <c r="I50" s="66">
        <f t="shared" ref="I50:K50" si="19">H50</f>
        <v>58065070</v>
      </c>
      <c r="J50" s="66">
        <f t="shared" si="19"/>
        <v>58065070</v>
      </c>
      <c r="K50" s="66">
        <f t="shared" si="19"/>
        <v>58065070</v>
      </c>
      <c r="L50" s="32"/>
      <c r="M50" s="32"/>
      <c r="N50" s="32"/>
      <c r="O50" s="32"/>
      <c r="P50" s="32"/>
      <c r="Q50" s="32"/>
      <c r="R50" s="33"/>
    </row>
    <row r="51" spans="2:21" x14ac:dyDescent="0.3">
      <c r="E51">
        <v>4</v>
      </c>
      <c r="G51" s="66"/>
      <c r="H51" s="66">
        <f>H13/E51</f>
        <v>4550100</v>
      </c>
      <c r="I51" s="66">
        <f>H51</f>
        <v>4550100</v>
      </c>
      <c r="J51" s="66">
        <f>I51</f>
        <v>4550100</v>
      </c>
      <c r="K51" s="66">
        <f>J51</f>
        <v>4550100</v>
      </c>
      <c r="L51" s="32"/>
      <c r="M51" s="32"/>
      <c r="N51" s="32"/>
      <c r="O51" s="32"/>
      <c r="P51" s="32"/>
      <c r="Q51" s="32"/>
      <c r="R51" s="33"/>
    </row>
    <row r="52" spans="2:21" x14ac:dyDescent="0.3">
      <c r="E52">
        <v>3</v>
      </c>
      <c r="G52" s="66"/>
      <c r="H52" s="66"/>
      <c r="I52" s="66">
        <f>I13/E52</f>
        <v>7583500</v>
      </c>
      <c r="J52" s="66">
        <f>I52</f>
        <v>7583500</v>
      </c>
      <c r="K52" s="66">
        <f>J52</f>
        <v>7583500</v>
      </c>
      <c r="L52" s="32"/>
      <c r="M52" s="32"/>
      <c r="N52" s="32"/>
      <c r="O52" s="32"/>
      <c r="P52" s="32"/>
      <c r="Q52" s="32"/>
      <c r="R52" s="33"/>
    </row>
    <row r="53" spans="2:21" x14ac:dyDescent="0.3">
      <c r="E53">
        <v>2</v>
      </c>
      <c r="G53" s="66"/>
      <c r="H53" s="66"/>
      <c r="I53" s="66"/>
      <c r="J53" s="66">
        <f>J13/E53</f>
        <v>11375250</v>
      </c>
      <c r="K53" s="66">
        <f>J53</f>
        <v>11375250</v>
      </c>
      <c r="L53" s="32"/>
      <c r="M53" s="32"/>
      <c r="N53" s="32"/>
      <c r="O53" s="32"/>
      <c r="P53" s="32"/>
      <c r="Q53" s="32"/>
      <c r="R53" s="33"/>
    </row>
    <row r="54" spans="2:21" x14ac:dyDescent="0.3">
      <c r="E54">
        <v>1</v>
      </c>
      <c r="G54" s="66"/>
      <c r="H54" s="66"/>
      <c r="I54" s="66"/>
      <c r="J54" s="66"/>
      <c r="K54" s="66">
        <f>K13</f>
        <v>22750500</v>
      </c>
      <c r="L54" s="32"/>
      <c r="M54" s="32"/>
      <c r="N54" s="32"/>
      <c r="O54" s="32"/>
      <c r="P54" s="32"/>
      <c r="Q54" s="32"/>
      <c r="R54" s="33"/>
    </row>
    <row r="55" spans="2:21" ht="16.2" thickBot="1" x14ac:dyDescent="0.35">
      <c r="B55" s="34" t="s">
        <v>31</v>
      </c>
      <c r="C55" s="35"/>
      <c r="D55" s="35"/>
      <c r="E55" s="35"/>
      <c r="F55" s="35"/>
      <c r="G55" s="36">
        <f>SUM(G50:G54)</f>
        <v>58065070</v>
      </c>
      <c r="H55" s="36">
        <f t="shared" ref="H55:K55" si="20">SUM(H50:H54)</f>
        <v>62615170</v>
      </c>
      <c r="I55" s="36">
        <f t="shared" si="20"/>
        <v>70198670</v>
      </c>
      <c r="J55" s="36">
        <f t="shared" si="20"/>
        <v>81573920</v>
      </c>
      <c r="K55" s="36">
        <f t="shared" si="20"/>
        <v>104324420</v>
      </c>
      <c r="L55" s="40"/>
      <c r="M55" s="40"/>
      <c r="N55" s="40"/>
      <c r="O55" s="40"/>
      <c r="P55" s="40"/>
      <c r="Q55" s="40"/>
      <c r="R55" s="40"/>
      <c r="S55" s="37"/>
      <c r="T55" s="37"/>
      <c r="U55" s="37"/>
    </row>
    <row r="56" spans="2:21" ht="16.2" thickTop="1" x14ac:dyDescent="0.3">
      <c r="R56" s="12"/>
    </row>
    <row r="58" spans="2:21" x14ac:dyDescent="0.3">
      <c r="F58" t="s">
        <v>42</v>
      </c>
    </row>
  </sheetData>
  <mergeCells count="6">
    <mergeCell ref="O25:P25"/>
    <mergeCell ref="O18:O19"/>
    <mergeCell ref="E21:F21"/>
    <mergeCell ref="O22:P22"/>
    <mergeCell ref="O23:P23"/>
    <mergeCell ref="O24:P24"/>
  </mergeCells>
  <pageMargins left="0.84" right="0.25" top="0.28999999999999998" bottom="0.37" header="0.3" footer="0.3"/>
  <pageSetup paperSize="9" scale="65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45"/>
  <sheetViews>
    <sheetView zoomScale="70" zoomScaleNormal="70" workbookViewId="0">
      <selection activeCell="B3" sqref="B3"/>
    </sheetView>
  </sheetViews>
  <sheetFormatPr defaultRowHeight="15.6" x14ac:dyDescent="0.3"/>
  <cols>
    <col min="1" max="1" width="13.5" bestFit="1" customWidth="1"/>
    <col min="2" max="2" width="15.796875" bestFit="1" customWidth="1"/>
    <col min="3" max="4" width="13.69921875" bestFit="1" customWidth="1"/>
    <col min="5" max="5" width="14.796875" customWidth="1"/>
    <col min="6" max="6" width="14" customWidth="1"/>
    <col min="7" max="7" width="12.09765625" bestFit="1" customWidth="1"/>
    <col min="8" max="8" width="16.69921875" customWidth="1"/>
    <col min="9" max="9" width="15.296875" customWidth="1"/>
    <col min="10" max="11" width="13.69921875" bestFit="1" customWidth="1"/>
  </cols>
  <sheetData>
    <row r="1" spans="1:16" x14ac:dyDescent="0.3">
      <c r="B1">
        <v>2021</v>
      </c>
      <c r="C1">
        <v>2022</v>
      </c>
      <c r="D1">
        <v>2023</v>
      </c>
      <c r="E1">
        <v>2024</v>
      </c>
      <c r="F1">
        <v>2025</v>
      </c>
      <c r="G1">
        <v>2026</v>
      </c>
    </row>
    <row r="2" spans="1:16" x14ac:dyDescent="0.3"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6" x14ac:dyDescent="0.3">
      <c r="A3" t="s">
        <v>43</v>
      </c>
      <c r="B3" s="91">
        <f>'IRR (2)'!G12+'IRR (2)'!G13+'IRR (2)'!H13+'IRR (2)'!I13+'IRR (2)'!J13+'IRR (2)'!K13</f>
        <v>376777250</v>
      </c>
      <c r="C3" s="12">
        <f>$B$3-$B$5</f>
        <v>301421800</v>
      </c>
      <c r="D3" s="12">
        <f>$C$3-$B$5</f>
        <v>226066350</v>
      </c>
      <c r="E3" s="12">
        <f>$D$3-$B$5</f>
        <v>150710900</v>
      </c>
      <c r="F3" s="12">
        <f>$E$3-$B$5</f>
        <v>75355450</v>
      </c>
      <c r="G3" s="12">
        <f>$F$3-$B$5</f>
        <v>0</v>
      </c>
      <c r="H3" s="12">
        <v>0</v>
      </c>
      <c r="I3" s="12"/>
      <c r="J3" s="12"/>
      <c r="K3" s="12"/>
    </row>
    <row r="4" spans="1:16" x14ac:dyDescent="0.3">
      <c r="A4" t="s">
        <v>44</v>
      </c>
      <c r="B4" s="91">
        <v>5</v>
      </c>
    </row>
    <row r="5" spans="1:16" x14ac:dyDescent="0.3">
      <c r="A5" t="s">
        <v>45</v>
      </c>
      <c r="B5" s="91">
        <f>$B$3/$B$4</f>
        <v>75355450</v>
      </c>
    </row>
    <row r="6" spans="1:16" x14ac:dyDescent="0.3">
      <c r="A6" t="s">
        <v>46</v>
      </c>
      <c r="B6" s="91">
        <f>(($B$3*'IRR (2)'!F4)*6)/12</f>
        <v>18838862.5</v>
      </c>
      <c r="C6" s="12">
        <f>AVERAGE(B3:C3)*IRR!$F$4</f>
        <v>33909952.5</v>
      </c>
      <c r="D6" s="12">
        <f>AVERAGE(C3:D3)*IRR!$F$4</f>
        <v>26374407.5</v>
      </c>
      <c r="E6" s="12">
        <f>AVERAGE(D3:E3)*IRR!$F$4</f>
        <v>18838862.5</v>
      </c>
      <c r="F6" s="12">
        <f>AVERAGE(E3:F3)*IRR!$F$4</f>
        <v>11303317.5</v>
      </c>
      <c r="G6" s="12">
        <f>AVERAGE(F3:G3)*IRR!$F$4</f>
        <v>3767772.5</v>
      </c>
      <c r="H6" s="12">
        <f>AVERAGE(G3:H3)*IRR!$F$4</f>
        <v>0</v>
      </c>
      <c r="I6" s="12">
        <f>AVERAGE(H3:I3)*IRR!$F$4</f>
        <v>0</v>
      </c>
    </row>
    <row r="8" spans="1:16" x14ac:dyDescent="0.3">
      <c r="B8" s="12">
        <f>B6</f>
        <v>18838862.5</v>
      </c>
      <c r="C8" s="12">
        <f t="shared" ref="C8:P8" si="0">C6</f>
        <v>33909952.5</v>
      </c>
      <c r="D8" s="12">
        <f t="shared" si="0"/>
        <v>26374407.5</v>
      </c>
      <c r="E8" s="12">
        <f t="shared" si="0"/>
        <v>18838862.5</v>
      </c>
      <c r="F8" s="12">
        <f t="shared" si="0"/>
        <v>11303317.5</v>
      </c>
      <c r="G8" s="12">
        <f t="shared" si="0"/>
        <v>3767772.5</v>
      </c>
      <c r="H8" s="12">
        <f t="shared" si="0"/>
        <v>0</v>
      </c>
      <c r="I8" s="12">
        <f t="shared" si="0"/>
        <v>0</v>
      </c>
      <c r="J8" s="12">
        <f t="shared" si="0"/>
        <v>0</v>
      </c>
      <c r="K8" s="12">
        <f t="shared" si="0"/>
        <v>0</v>
      </c>
      <c r="L8" s="12">
        <f t="shared" si="0"/>
        <v>0</v>
      </c>
      <c r="M8" s="12">
        <f t="shared" si="0"/>
        <v>0</v>
      </c>
      <c r="N8" s="12">
        <f t="shared" si="0"/>
        <v>0</v>
      </c>
      <c r="O8" s="12">
        <f t="shared" si="0"/>
        <v>0</v>
      </c>
      <c r="P8" s="12">
        <f t="shared" si="0"/>
        <v>0</v>
      </c>
    </row>
    <row r="11" spans="1:16" x14ac:dyDescent="0.3">
      <c r="F11" s="129" t="s">
        <v>78</v>
      </c>
      <c r="G11" s="129" t="s">
        <v>79</v>
      </c>
      <c r="H11" s="129" t="s">
        <v>80</v>
      </c>
      <c r="I11" s="130" t="s">
        <v>81</v>
      </c>
      <c r="J11" s="234" t="s">
        <v>82</v>
      </c>
      <c r="K11" s="234" t="s">
        <v>83</v>
      </c>
    </row>
    <row r="12" spans="1:16" x14ac:dyDescent="0.3">
      <c r="E12" s="131" t="s">
        <v>84</v>
      </c>
      <c r="F12" s="132">
        <v>2</v>
      </c>
      <c r="G12" s="133">
        <v>1</v>
      </c>
      <c r="H12" s="133">
        <v>1</v>
      </c>
      <c r="I12" s="134">
        <v>186</v>
      </c>
      <c r="J12" s="234"/>
      <c r="K12" s="234"/>
    </row>
    <row r="13" spans="1:16" x14ac:dyDescent="0.3">
      <c r="B13" s="235" t="s">
        <v>85</v>
      </c>
      <c r="C13" s="135" t="s">
        <v>86</v>
      </c>
      <c r="D13" s="136">
        <f>C24</f>
        <v>3000000</v>
      </c>
      <c r="E13" s="135" t="s">
        <v>78</v>
      </c>
      <c r="F13" s="129">
        <f>F12</f>
        <v>2</v>
      </c>
      <c r="G13" s="129"/>
      <c r="H13" s="129"/>
      <c r="I13" s="130"/>
      <c r="J13" s="137">
        <f>F13*D13</f>
        <v>6000000</v>
      </c>
    </row>
    <row r="14" spans="1:16" x14ac:dyDescent="0.3">
      <c r="B14" s="236"/>
      <c r="C14" s="135" t="s">
        <v>87</v>
      </c>
      <c r="D14" s="138">
        <v>600000</v>
      </c>
      <c r="E14" s="135" t="s">
        <v>78</v>
      </c>
      <c r="F14" s="129">
        <f>F12</f>
        <v>2</v>
      </c>
      <c r="G14" s="129"/>
      <c r="H14" s="129"/>
      <c r="I14" s="130">
        <f>IF($I$11&lt;=120,2,IF($I$11&gt;220,4,3))</f>
        <v>4</v>
      </c>
      <c r="J14" s="138">
        <f>D14*F14</f>
        <v>1200000</v>
      </c>
    </row>
    <row r="15" spans="1:16" x14ac:dyDescent="0.3">
      <c r="B15" s="237"/>
      <c r="C15" s="135" t="s">
        <v>85</v>
      </c>
      <c r="D15" s="138">
        <v>200000</v>
      </c>
      <c r="E15" s="135" t="s">
        <v>88</v>
      </c>
      <c r="F15" s="129"/>
      <c r="G15" s="129">
        <f>G12</f>
        <v>1</v>
      </c>
      <c r="H15" s="129"/>
      <c r="I15" s="130"/>
      <c r="J15" s="138">
        <f>G15*D15</f>
        <v>200000</v>
      </c>
    </row>
    <row r="16" spans="1:16" x14ac:dyDescent="0.3">
      <c r="B16" s="135" t="s">
        <v>89</v>
      </c>
      <c r="C16" s="135" t="s">
        <v>89</v>
      </c>
      <c r="D16" s="138">
        <v>450000</v>
      </c>
      <c r="E16" s="135" t="s">
        <v>80</v>
      </c>
      <c r="F16" s="129">
        <f>F12</f>
        <v>2</v>
      </c>
      <c r="G16" s="129"/>
      <c r="H16" s="129">
        <f>H12</f>
        <v>1</v>
      </c>
      <c r="I16" s="130">
        <f t="shared" ref="I16:I17" si="1">IF($I$11&lt;=120,2,IF($I$11&gt;220,4,3))</f>
        <v>4</v>
      </c>
      <c r="J16" s="138">
        <f>H16*D16*I16</f>
        <v>1800000</v>
      </c>
    </row>
    <row r="17" spans="1:11" x14ac:dyDescent="0.3">
      <c r="B17" s="135" t="s">
        <v>90</v>
      </c>
      <c r="C17" s="135" t="s">
        <v>90</v>
      </c>
      <c r="D17" s="138">
        <v>120000</v>
      </c>
      <c r="E17" s="135" t="s">
        <v>78</v>
      </c>
      <c r="F17" s="129">
        <f>F12</f>
        <v>2</v>
      </c>
      <c r="G17" s="129"/>
      <c r="H17" s="129"/>
      <c r="I17" s="130">
        <f t="shared" si="1"/>
        <v>4</v>
      </c>
      <c r="J17" s="138">
        <f>I17*D17*F17</f>
        <v>960000</v>
      </c>
    </row>
    <row r="18" spans="1:11" x14ac:dyDescent="0.3">
      <c r="J18" s="139">
        <f>SUM(J13:J17)</f>
        <v>10160000</v>
      </c>
      <c r="K18" s="140">
        <f>J18*2</f>
        <v>20320000</v>
      </c>
    </row>
    <row r="21" spans="1:11" x14ac:dyDescent="0.3">
      <c r="K21" s="12"/>
    </row>
    <row r="22" spans="1:11" x14ac:dyDescent="0.3">
      <c r="B22" s="129" t="s">
        <v>91</v>
      </c>
      <c r="C22" s="129" t="s">
        <v>86</v>
      </c>
      <c r="E22" s="135" t="s">
        <v>92</v>
      </c>
      <c r="K22" s="33"/>
    </row>
    <row r="23" spans="1:11" x14ac:dyDescent="0.3">
      <c r="A23" t="s">
        <v>93</v>
      </c>
      <c r="B23" s="91">
        <v>16800000</v>
      </c>
      <c r="C23" s="91">
        <v>4000000</v>
      </c>
      <c r="E23" t="s">
        <v>94</v>
      </c>
      <c r="K23" s="12"/>
    </row>
    <row r="24" spans="1:11" x14ac:dyDescent="0.3">
      <c r="A24" t="s">
        <v>95</v>
      </c>
      <c r="B24" s="91"/>
      <c r="C24" s="91">
        <v>3000000</v>
      </c>
      <c r="E24" t="s">
        <v>96</v>
      </c>
      <c r="I24" s="91">
        <v>10000000</v>
      </c>
    </row>
    <row r="25" spans="1:11" x14ac:dyDescent="0.3">
      <c r="A25" t="s">
        <v>97</v>
      </c>
      <c r="B25" s="91">
        <v>15600000</v>
      </c>
      <c r="C25" s="91">
        <v>2500000</v>
      </c>
      <c r="E25" t="s">
        <v>96</v>
      </c>
      <c r="H25" t="s">
        <v>98</v>
      </c>
      <c r="I25" s="91">
        <v>12000000</v>
      </c>
    </row>
    <row r="26" spans="1:11" x14ac:dyDescent="0.3">
      <c r="A26" t="s">
        <v>99</v>
      </c>
      <c r="B26" s="91">
        <v>15000000</v>
      </c>
      <c r="C26" s="91">
        <v>2000000</v>
      </c>
      <c r="E26" t="s">
        <v>96</v>
      </c>
      <c r="H26" t="s">
        <v>100</v>
      </c>
      <c r="I26" s="91">
        <v>14000000</v>
      </c>
    </row>
    <row r="27" spans="1:11" x14ac:dyDescent="0.3">
      <c r="A27" t="s">
        <v>101</v>
      </c>
      <c r="B27" s="91">
        <v>15000000</v>
      </c>
      <c r="C27" s="91">
        <v>1850000</v>
      </c>
      <c r="E27" t="s">
        <v>96</v>
      </c>
      <c r="H27" t="s">
        <v>102</v>
      </c>
      <c r="I27" s="91">
        <v>14000000</v>
      </c>
    </row>
    <row r="28" spans="1:11" x14ac:dyDescent="0.3">
      <c r="A28" t="s">
        <v>103</v>
      </c>
      <c r="B28" s="91">
        <v>12000000</v>
      </c>
      <c r="C28" s="91">
        <v>1200000</v>
      </c>
      <c r="E28" t="s">
        <v>96</v>
      </c>
      <c r="H28" t="s">
        <v>93</v>
      </c>
      <c r="I28" s="91">
        <v>17000000</v>
      </c>
    </row>
    <row r="29" spans="1:11" x14ac:dyDescent="0.3">
      <c r="A29" t="s">
        <v>104</v>
      </c>
      <c r="B29" s="91">
        <v>16800000</v>
      </c>
      <c r="C29" s="91">
        <v>2000000</v>
      </c>
      <c r="E29" t="s">
        <v>96</v>
      </c>
      <c r="H29" t="s">
        <v>104</v>
      </c>
      <c r="I29" s="91">
        <v>14000000</v>
      </c>
    </row>
    <row r="30" spans="1:11" x14ac:dyDescent="0.3">
      <c r="A30" t="s">
        <v>105</v>
      </c>
      <c r="B30" s="91">
        <v>15720000</v>
      </c>
      <c r="C30" s="91">
        <v>3500000</v>
      </c>
    </row>
    <row r="31" spans="1:11" x14ac:dyDescent="0.3">
      <c r="A31" t="s">
        <v>106</v>
      </c>
      <c r="C31" s="91">
        <v>2800000</v>
      </c>
    </row>
    <row r="32" spans="1:11" x14ac:dyDescent="0.3">
      <c r="A32" t="s">
        <v>107</v>
      </c>
      <c r="B32">
        <v>0</v>
      </c>
      <c r="C32" s="91">
        <v>0</v>
      </c>
      <c r="D32" t="s">
        <v>108</v>
      </c>
    </row>
    <row r="34" spans="1:3" x14ac:dyDescent="0.3">
      <c r="B34" s="129" t="s">
        <v>109</v>
      </c>
      <c r="C34" s="129"/>
    </row>
    <row r="35" spans="1:3" x14ac:dyDescent="0.3">
      <c r="B35" s="91">
        <v>7000000</v>
      </c>
    </row>
    <row r="37" spans="1:3" x14ac:dyDescent="0.3">
      <c r="A37" s="135" t="s">
        <v>110</v>
      </c>
      <c r="B37" s="12"/>
    </row>
    <row r="38" spans="1:3" x14ac:dyDescent="0.3">
      <c r="A38" t="s">
        <v>111</v>
      </c>
    </row>
    <row r="39" spans="1:3" x14ac:dyDescent="0.3">
      <c r="A39" t="s">
        <v>112</v>
      </c>
      <c r="B39" s="91">
        <v>36000000</v>
      </c>
    </row>
    <row r="40" spans="1:3" x14ac:dyDescent="0.3">
      <c r="A40" t="s">
        <v>113</v>
      </c>
      <c r="B40" s="91">
        <v>42000000</v>
      </c>
    </row>
    <row r="41" spans="1:3" x14ac:dyDescent="0.3">
      <c r="A41" t="s">
        <v>114</v>
      </c>
      <c r="B41" s="91">
        <v>48000000</v>
      </c>
    </row>
    <row r="43" spans="1:3" x14ac:dyDescent="0.3">
      <c r="A43" t="s">
        <v>115</v>
      </c>
    </row>
    <row r="44" spans="1:3" x14ac:dyDescent="0.3">
      <c r="A44" t="s">
        <v>116</v>
      </c>
      <c r="B44" s="91">
        <v>75000000</v>
      </c>
    </row>
    <row r="45" spans="1:3" x14ac:dyDescent="0.3">
      <c r="A45" t="s">
        <v>114</v>
      </c>
      <c r="B45" s="91">
        <v>95000000</v>
      </c>
    </row>
  </sheetData>
  <mergeCells count="3">
    <mergeCell ref="J11:J12"/>
    <mergeCell ref="K11:K12"/>
    <mergeCell ref="B13:B15"/>
  </mergeCells>
  <conditionalFormatting sqref="B6:I6">
    <cfRule type="cellIs" dxfId="0" priority="4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D4D11-5B24-42DE-AB11-52A5E34D2031}">
  <dimension ref="A2:D21"/>
  <sheetViews>
    <sheetView showGridLines="0" topLeftCell="A3" workbookViewId="0">
      <selection activeCell="C17" sqref="C17:C18"/>
    </sheetView>
  </sheetViews>
  <sheetFormatPr defaultColWidth="8.69921875" defaultRowHeight="14.4" x14ac:dyDescent="0.3"/>
  <cols>
    <col min="1" max="1" width="4.796875" style="183" customWidth="1"/>
    <col min="2" max="2" width="31.796875" style="183" customWidth="1"/>
    <col min="3" max="3" width="41.5" style="183" bestFit="1" customWidth="1"/>
    <col min="4" max="16384" width="8.69921875" style="183"/>
  </cols>
  <sheetData>
    <row r="2" spans="1:4" ht="15" customHeight="1" x14ac:dyDescent="0.3">
      <c r="A2" s="238" t="s">
        <v>133</v>
      </c>
      <c r="B2" s="238"/>
      <c r="C2" s="238"/>
      <c r="D2" s="182"/>
    </row>
    <row r="3" spans="1:4" x14ac:dyDescent="0.3">
      <c r="A3" s="184"/>
      <c r="B3" s="184"/>
      <c r="C3" s="184"/>
      <c r="D3" s="182"/>
    </row>
    <row r="4" spans="1:4" ht="15.6" x14ac:dyDescent="0.3">
      <c r="A4" s="243" t="s">
        <v>151</v>
      </c>
      <c r="B4" s="243"/>
      <c r="C4" s="185" t="s">
        <v>152</v>
      </c>
      <c r="D4" s="182"/>
    </row>
    <row r="5" spans="1:4" ht="15.6" x14ac:dyDescent="0.3">
      <c r="A5" s="243" t="s">
        <v>153</v>
      </c>
      <c r="B5" s="243"/>
      <c r="C5" s="185" t="s">
        <v>154</v>
      </c>
      <c r="D5" s="182"/>
    </row>
    <row r="6" spans="1:4" ht="15.6" x14ac:dyDescent="0.3">
      <c r="A6" s="243" t="s">
        <v>155</v>
      </c>
      <c r="B6" s="243"/>
      <c r="C6" s="185" t="s">
        <v>156</v>
      </c>
      <c r="D6" s="182"/>
    </row>
    <row r="7" spans="1:4" ht="15.6" x14ac:dyDescent="0.3">
      <c r="A7" s="243" t="s">
        <v>157</v>
      </c>
      <c r="B7" s="243"/>
      <c r="C7" s="185"/>
      <c r="D7" s="182"/>
    </row>
    <row r="8" spans="1:4" ht="15" thickBot="1" x14ac:dyDescent="0.35">
      <c r="A8" s="184"/>
      <c r="B8" s="184"/>
      <c r="C8" s="184"/>
      <c r="D8" s="182"/>
    </row>
    <row r="9" spans="1:4" ht="15" customHeight="1" thickBot="1" x14ac:dyDescent="0.35">
      <c r="A9" s="239" t="s">
        <v>134</v>
      </c>
      <c r="B9" s="240" t="s">
        <v>135</v>
      </c>
      <c r="C9" s="241" t="s">
        <v>158</v>
      </c>
      <c r="D9" s="182"/>
    </row>
    <row r="10" spans="1:4" ht="15.75" customHeight="1" thickBot="1" x14ac:dyDescent="0.35">
      <c r="A10" s="239"/>
      <c r="B10" s="240"/>
      <c r="C10" s="242"/>
      <c r="D10" s="182"/>
    </row>
    <row r="11" spans="1:4" ht="15" thickBot="1" x14ac:dyDescent="0.35">
      <c r="A11" s="186">
        <v>1</v>
      </c>
      <c r="B11" s="187" t="s">
        <v>136</v>
      </c>
      <c r="C11" s="187" t="s">
        <v>159</v>
      </c>
      <c r="D11" s="182"/>
    </row>
    <row r="12" spans="1:4" ht="15" thickBot="1" x14ac:dyDescent="0.35">
      <c r="A12" s="186">
        <v>2</v>
      </c>
      <c r="B12" s="187" t="s">
        <v>160</v>
      </c>
      <c r="C12" s="187" t="s">
        <v>161</v>
      </c>
      <c r="D12" s="182"/>
    </row>
    <row r="13" spans="1:4" ht="15" thickBot="1" x14ac:dyDescent="0.35">
      <c r="A13" s="186">
        <v>3</v>
      </c>
      <c r="B13" s="187" t="s">
        <v>178</v>
      </c>
      <c r="C13" s="188">
        <v>854744000</v>
      </c>
      <c r="D13" s="182"/>
    </row>
    <row r="14" spans="1:4" ht="15" thickBot="1" x14ac:dyDescent="0.35">
      <c r="A14" s="186">
        <v>4</v>
      </c>
      <c r="B14" s="187" t="s">
        <v>162</v>
      </c>
      <c r="C14" s="195">
        <v>0.5</v>
      </c>
      <c r="D14" s="182"/>
    </row>
    <row r="15" spans="1:4" ht="15.75" customHeight="1" thickBot="1" x14ac:dyDescent="0.35">
      <c r="A15" s="186">
        <v>5</v>
      </c>
      <c r="B15" s="187" t="s">
        <v>167</v>
      </c>
      <c r="C15" s="189">
        <v>349000</v>
      </c>
    </row>
    <row r="16" spans="1:4" ht="15.75" customHeight="1" thickBot="1" x14ac:dyDescent="0.35">
      <c r="A16" s="186">
        <v>6</v>
      </c>
      <c r="B16" s="187" t="s">
        <v>168</v>
      </c>
      <c r="C16" s="189">
        <v>267000</v>
      </c>
    </row>
    <row r="17" spans="1:3" ht="15.75" customHeight="1" thickBot="1" x14ac:dyDescent="0.35">
      <c r="A17" s="186">
        <v>7</v>
      </c>
      <c r="B17" s="187" t="s">
        <v>173</v>
      </c>
      <c r="C17" s="196">
        <v>0.5</v>
      </c>
    </row>
    <row r="18" spans="1:3" ht="15.75" customHeight="1" thickBot="1" x14ac:dyDescent="0.35">
      <c r="A18" s="186">
        <v>8</v>
      </c>
      <c r="B18" s="187" t="s">
        <v>172</v>
      </c>
      <c r="C18" s="189">
        <v>50000000</v>
      </c>
    </row>
    <row r="19" spans="1:3" ht="15" thickBot="1" x14ac:dyDescent="0.35">
      <c r="A19" s="186">
        <v>9</v>
      </c>
      <c r="B19" s="187" t="s">
        <v>163</v>
      </c>
      <c r="C19" s="190" t="s">
        <v>164</v>
      </c>
    </row>
    <row r="20" spans="1:3" ht="15" thickBot="1" x14ac:dyDescent="0.35">
      <c r="A20" s="186">
        <v>10</v>
      </c>
      <c r="B20" s="187" t="s">
        <v>165</v>
      </c>
      <c r="C20" s="190">
        <v>870</v>
      </c>
    </row>
    <row r="21" spans="1:3" ht="15" thickBot="1" x14ac:dyDescent="0.35">
      <c r="A21" s="186">
        <v>11</v>
      </c>
      <c r="B21" s="187" t="s">
        <v>166</v>
      </c>
      <c r="C21" s="190">
        <v>872</v>
      </c>
    </row>
  </sheetData>
  <mergeCells count="8">
    <mergeCell ref="A2:C2"/>
    <mergeCell ref="A9:A10"/>
    <mergeCell ref="B9:B10"/>
    <mergeCell ref="C9:C10"/>
    <mergeCell ref="A4:B4"/>
    <mergeCell ref="A5:B5"/>
    <mergeCell ref="A6:B6"/>
    <mergeCell ref="A7:B7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Summary</vt:lpstr>
      <vt:lpstr>IRR</vt:lpstr>
      <vt:lpstr>Rev</vt:lpstr>
      <vt:lpstr>IRR (2)</vt:lpstr>
      <vt:lpstr>PARAMETER</vt:lpstr>
      <vt:lpstr>Apt Elpis </vt:lpstr>
      <vt:lpstr>'Apt Elpis '!Print_Area</vt:lpstr>
      <vt:lpstr>IRR!Print_Area</vt:lpstr>
      <vt:lpstr>'IRR (2)'!Print_Area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Subianto Kasmun</cp:lastModifiedBy>
  <cp:lastPrinted>2025-08-01T03:59:38Z</cp:lastPrinted>
  <dcterms:created xsi:type="dcterms:W3CDTF">2020-06-08T08:40:20Z</dcterms:created>
  <dcterms:modified xsi:type="dcterms:W3CDTF">2025-08-01T04:02:12Z</dcterms:modified>
</cp:coreProperties>
</file>